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🎯 Akıllı Analiz" sheetId="1" state="visible" r:id="rId1"/>
    <sheet xmlns:r="http://schemas.openxmlformats.org/officeDocument/2006/relationships" name="📖 Hakkında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0">
    <numFmt numFmtId="164" formatCode="#,##0.##"/>
    <numFmt numFmtId="165" formatCode="0.000%"/>
    <numFmt numFmtId="166" formatCode="#,##0.####"/>
    <numFmt numFmtId="167" formatCode="0.#####"/>
    <numFmt numFmtId="168" formatCode="0.0000"/>
    <numFmt numFmtId="169" formatCode="#,##0.0000"/>
    <numFmt numFmtId="170" formatCode="0.00000"/>
    <numFmt numFmtId="171" formatCode="0.00\x"/>
    <numFmt numFmtId="172" formatCode="#,##0.00&quot; TL&quot;"/>
    <numFmt numFmtId="173" formatCode="0.0%"/>
  </numFmts>
  <fonts count="69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C9A84C"/>
      <sz val="12"/>
    </font>
    <font>
      <name val="Arial"/>
      <charset val="1"/>
      <family val="0"/>
      <b val="1"/>
      <color rgb="FFC9A84C"/>
      <sz val="11"/>
    </font>
    <font>
      <name val="Arial"/>
      <charset val="1"/>
      <family val="0"/>
      <i val="1"/>
      <color rgb="FFAACCEE"/>
      <sz val="8"/>
    </font>
    <font>
      <name val="Arial"/>
      <charset val="1"/>
      <family val="0"/>
      <i val="1"/>
      <color rgb="FFAAAAAA"/>
      <sz val="8"/>
    </font>
    <font>
      <name val="Arial"/>
      <charset val="1"/>
      <family val="0"/>
      <b val="1"/>
      <color rgb="FFFFFFFF"/>
      <sz val="9"/>
    </font>
    <font>
      <name val="Arial"/>
      <charset val="1"/>
      <family val="0"/>
      <color rgb="FF333333"/>
      <sz val="8"/>
    </font>
    <font>
      <name val="Arial"/>
      <charset val="1"/>
      <family val="0"/>
      <b val="1"/>
      <color rgb="FF0000CC"/>
      <sz val="11"/>
    </font>
    <font>
      <name val="Arial"/>
      <charset val="1"/>
      <family val="0"/>
      <color rgb="FF666666"/>
      <sz val="7"/>
    </font>
    <font>
      <name val="Arial"/>
      <charset val="1"/>
      <family val="0"/>
      <b val="1"/>
      <color rgb="FFF0B429"/>
      <sz val="9"/>
    </font>
    <font>
      <name val="Arial"/>
      <charset val="1"/>
      <family val="0"/>
      <color rgb="FF888888"/>
      <sz val="7"/>
    </font>
    <font>
      <name val="Arial"/>
      <charset val="1"/>
      <family val="0"/>
      <b val="1"/>
      <color rgb="FF0000CC"/>
      <sz val="10"/>
    </font>
    <font>
      <name val="Arial"/>
      <charset val="1"/>
      <family val="0"/>
      <color rgb="FF555555"/>
      <sz val="8"/>
    </font>
    <font>
      <name val="Arial"/>
      <charset val="1"/>
      <family val="0"/>
      <color rgb="FF444444"/>
      <sz val="9"/>
    </font>
    <font>
      <name val="Arial"/>
      <charset val="1"/>
      <family val="0"/>
      <color rgb="FF999999"/>
      <sz val="7"/>
    </font>
    <font>
      <name val="Arial"/>
      <charset val="1"/>
      <family val="0"/>
      <b val="1"/>
      <color rgb="FF333333"/>
      <sz val="9"/>
    </font>
    <font>
      <name val="Arial"/>
      <charset val="1"/>
      <family val="0"/>
      <color rgb="FF000000"/>
      <sz val="9"/>
    </font>
    <font>
      <name val="Arial"/>
      <charset val="1"/>
      <family val="0"/>
      <color rgb="FF777777"/>
      <sz val="7"/>
    </font>
    <font>
      <name val="Arial"/>
      <charset val="1"/>
      <family val="0"/>
      <b val="1"/>
      <color rgb="FF000000"/>
      <sz val="9"/>
    </font>
    <font>
      <name val="Arial"/>
      <charset val="1"/>
      <family val="0"/>
      <b val="1"/>
      <color rgb="FF333333"/>
      <sz val="8"/>
    </font>
    <font>
      <name val="Arial"/>
      <charset val="1"/>
      <family val="0"/>
      <b val="1"/>
      <color rgb="FF212529"/>
      <sz val="8"/>
    </font>
    <font>
      <name val="Arial"/>
      <charset val="1"/>
      <family val="0"/>
      <b val="1"/>
      <color rgb="FFFFFFFF"/>
      <sz val="8"/>
    </font>
    <font>
      <name val="Arial"/>
      <charset val="1"/>
      <family val="0"/>
      <b val="1"/>
      <color rgb="FFB03A2E"/>
      <sz val="8"/>
    </font>
    <font>
      <name val="Arial"/>
      <charset val="1"/>
      <family val="0"/>
      <b val="1"/>
      <color rgb="FFB03A2E"/>
      <sz val="9"/>
    </font>
    <font>
      <name val="Arial"/>
      <charset val="1"/>
      <family val="0"/>
      <color rgb="FFB03A2E"/>
      <sz val="7"/>
    </font>
    <font>
      <name val="Arial"/>
      <charset val="1"/>
      <family val="0"/>
      <b val="1"/>
      <color rgb="FF06060D"/>
      <sz val="11"/>
    </font>
    <font>
      <name val="Arial"/>
      <charset val="1"/>
      <family val="0"/>
      <b val="1"/>
      <color rgb="FF1A5276"/>
      <sz val="8"/>
    </font>
    <font>
      <name val="Arial"/>
      <charset val="1"/>
      <family val="0"/>
      <b val="1"/>
      <color rgb="FF1A5276"/>
      <sz val="9"/>
    </font>
    <font>
      <name val="Arial"/>
      <charset val="1"/>
      <family val="0"/>
      <color rgb="FF1A5276"/>
      <sz val="7"/>
    </font>
    <font>
      <name val="Arial"/>
      <charset val="1"/>
      <family val="0"/>
      <b val="1"/>
      <color rgb="FF0E6655"/>
      <sz val="8"/>
    </font>
    <font>
      <name val="Arial"/>
      <charset val="1"/>
      <family val="0"/>
      <b val="1"/>
      <color rgb="FF0E6655"/>
      <sz val="9"/>
    </font>
    <font>
      <name val="Arial"/>
      <charset val="1"/>
      <family val="0"/>
      <color rgb="FF0E6655"/>
      <sz val="7"/>
    </font>
    <font>
      <name val="Arial"/>
      <charset val="1"/>
      <family val="0"/>
      <b val="1"/>
      <color rgb="FF6C3483"/>
      <sz val="8"/>
    </font>
    <font>
      <name val="Arial"/>
      <charset val="1"/>
      <family val="0"/>
      <b val="1"/>
      <color rgb="FF6C3483"/>
      <sz val="9"/>
    </font>
    <font>
      <name val="Arial"/>
      <charset val="1"/>
      <family val="0"/>
      <color rgb="FF6C3483"/>
      <sz val="7"/>
    </font>
    <font>
      <name val="Arial"/>
      <charset val="1"/>
      <family val="0"/>
      <b val="1"/>
      <color rgb="FF935116"/>
      <sz val="8"/>
    </font>
    <font>
      <name val="Arial"/>
      <charset val="1"/>
      <family val="0"/>
      <b val="1"/>
      <color rgb="FF935116"/>
      <sz val="9"/>
    </font>
    <font>
      <name val="Arial"/>
      <charset val="1"/>
      <family val="0"/>
      <color rgb="FF935116"/>
      <sz val="7"/>
    </font>
    <font>
      <name val="Arial"/>
      <charset val="1"/>
      <family val="0"/>
      <b val="1"/>
      <i val="1"/>
      <color rgb="FFB03A2E"/>
      <sz val="8"/>
    </font>
    <font>
      <name val="Arial"/>
      <charset val="1"/>
      <family val="0"/>
      <i val="1"/>
      <color rgb="FFBBBBBB"/>
      <sz val="8"/>
    </font>
    <font>
      <name val="Arial"/>
      <charset val="1"/>
      <family val="0"/>
      <b val="1"/>
      <color rgb="FFC9A84C"/>
      <sz val="28"/>
    </font>
    <font>
      <name val="Arial"/>
      <charset val="1"/>
      <family val="0"/>
      <b val="1"/>
      <color rgb="FFFFFFFF"/>
      <sz val="18"/>
    </font>
    <font>
      <name val="Arial"/>
      <charset val="1"/>
      <family val="0"/>
      <color rgb="FFC9A84C"/>
      <sz val="13"/>
    </font>
    <font>
      <name val="Arial"/>
      <charset val="1"/>
      <family val="0"/>
      <color rgb="FFC9A84C"/>
      <sz val="8"/>
    </font>
    <font>
      <name val="Arial"/>
      <charset val="1"/>
      <family val="0"/>
      <color rgb="FFAAAACC"/>
      <sz val="11"/>
    </font>
    <font>
      <name val="Arial"/>
      <charset val="1"/>
      <family val="0"/>
      <sz val="14"/>
    </font>
    <font>
      <name val="Arial"/>
      <charset val="1"/>
      <family val="0"/>
      <color rgb="FFCCCCEE"/>
      <sz val="10"/>
    </font>
    <font>
      <name val="Arial"/>
      <charset val="1"/>
      <family val="0"/>
      <i val="1"/>
      <color rgb="FFEDEDF5"/>
      <sz val="11"/>
    </font>
    <font>
      <name val="Arial"/>
      <charset val="1"/>
      <family val="0"/>
      <color rgb="FFC9A84C"/>
      <sz val="9"/>
    </font>
    <font>
      <name val="Arial"/>
      <charset val="1"/>
      <family val="0"/>
      <b val="1"/>
      <color rgb="FF06060D"/>
      <sz val="12"/>
    </font>
    <font>
      <name val="Arial"/>
      <charset val="1"/>
      <family val="0"/>
      <color rgb="FF212529"/>
      <sz val="11"/>
    </font>
    <font>
      <name val="Arial"/>
      <charset val="1"/>
      <family val="0"/>
      <color rgb="FF666666"/>
      <sz val="9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rgb="FF212529"/>
      <sz val="10"/>
    </font>
    <font>
      <name val="Arial"/>
      <charset val="1"/>
      <family val="0"/>
      <b val="1"/>
      <color rgb="FF0000FF"/>
      <sz val="10"/>
    </font>
    <font>
      <name val="Arial"/>
      <charset val="1"/>
      <family val="0"/>
      <color rgb="FF888888"/>
      <sz val="9"/>
    </font>
    <font>
      <name val="Arial"/>
      <charset val="1"/>
      <family val="0"/>
      <b val="1"/>
      <color rgb="FF000000"/>
      <sz val="10"/>
    </font>
    <font>
      <name val="Arial"/>
      <charset val="1"/>
      <family val="0"/>
      <color rgb="FF212529"/>
      <sz val="10"/>
    </font>
    <font>
      <name val="Arial"/>
      <charset val="1"/>
      <family val="0"/>
      <b val="1"/>
      <color rgb="FF212529"/>
      <sz val="9"/>
    </font>
    <font>
      <name val="Arial"/>
      <charset val="1"/>
      <family val="0"/>
      <color rgb="FF212529"/>
      <sz val="9"/>
    </font>
    <font>
      <name val="Arial"/>
      <charset val="1"/>
      <family val="0"/>
      <i val="1"/>
      <color rgb="FF555555"/>
      <sz val="10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rgb="FFC9A84C"/>
      <sz val="13"/>
    </font>
    <font>
      <name val="Arial"/>
      <charset val="1"/>
      <family val="0"/>
      <b val="1"/>
      <color rgb="FF1B5E20"/>
      <sz val="9"/>
    </font>
    <font>
      <name val="Arial"/>
      <charset val="1"/>
      <family val="0"/>
      <b val="1"/>
      <color rgb="FFE65100"/>
      <sz val="9"/>
    </font>
    <font>
      <name val="Arial"/>
      <charset val="1"/>
      <family val="0"/>
      <color rgb="FFAAAAAA"/>
      <sz val="9"/>
    </font>
  </fonts>
  <fills count="36">
    <fill>
      <patternFill/>
    </fill>
    <fill>
      <patternFill patternType="gray125"/>
    </fill>
    <fill>
      <patternFill patternType="solid">
        <fgColor rgb="FF154360"/>
        <bgColor rgb="FF1A3A4A"/>
      </patternFill>
    </fill>
    <fill>
      <patternFill patternType="solid">
        <fgColor rgb="FFE0E0E0"/>
        <bgColor rgb="FFDEE2E6"/>
      </patternFill>
    </fill>
    <fill>
      <patternFill patternType="solid">
        <fgColor rgb="FF0B5345"/>
        <bgColor rgb="FF0E6655"/>
      </patternFill>
    </fill>
    <fill>
      <patternFill patternType="solid">
        <fgColor rgb="FF4A235A"/>
        <bgColor rgb="FF333333"/>
      </patternFill>
    </fill>
    <fill>
      <patternFill patternType="solid">
        <fgColor rgb="FF784212"/>
        <bgColor rgb="FF935116"/>
      </patternFill>
    </fill>
    <fill>
      <patternFill patternType="solid">
        <fgColor rgb="FF06060D"/>
        <bgColor rgb="FF0C0C18"/>
      </patternFill>
    </fill>
    <fill>
      <patternFill patternType="solid">
        <fgColor rgb="FF1A5276"/>
        <bgColor rgb="FF154360"/>
      </patternFill>
    </fill>
    <fill>
      <patternFill patternType="solid">
        <fgColor rgb="FF0E6655"/>
        <bgColor rgb="FF0B5345"/>
      </patternFill>
    </fill>
    <fill>
      <patternFill patternType="solid">
        <fgColor rgb="FF6C3483"/>
        <bgColor rgb="FF4A235A"/>
      </patternFill>
    </fill>
    <fill>
      <patternFill patternType="solid">
        <fgColor rgb="FF935116"/>
        <bgColor rgb="FF784212"/>
      </patternFill>
    </fill>
    <fill>
      <patternFill patternType="solid">
        <fgColor rgb="FFFAFAFA"/>
        <bgColor rgb="FFF8F9FA"/>
      </patternFill>
    </fill>
    <fill>
      <patternFill patternType="solid">
        <fgColor rgb="FFD6EAF8"/>
        <bgColor rgb="FFDEE2E6"/>
      </patternFill>
    </fill>
    <fill>
      <patternFill patternType="solid">
        <fgColor rgb="FFEBF5FB"/>
        <bgColor rgb="FFF0F4FF"/>
      </patternFill>
    </fill>
    <fill>
      <patternFill patternType="solid">
        <fgColor rgb="FFD5F5E3"/>
        <bgColor rgb="FFE8F5E9"/>
      </patternFill>
    </fill>
    <fill>
      <patternFill patternType="solid">
        <fgColor rgb="FFE8F8F5"/>
        <bgColor rgb="FFE8F8F0"/>
      </patternFill>
    </fill>
    <fill>
      <patternFill patternType="solid">
        <fgColor rgb="FFF5EEF8"/>
        <bgColor rgb="FFEEEEF4"/>
      </patternFill>
    </fill>
    <fill>
      <patternFill patternType="solid">
        <fgColor rgb="FFEDE7F6"/>
        <bgColor rgb="FFEEEEF4"/>
      </patternFill>
    </fill>
    <fill>
      <patternFill patternType="solid">
        <fgColor rgb="FFFDEBD0"/>
        <bgColor rgb="FFFDEDEC"/>
      </patternFill>
    </fill>
    <fill>
      <patternFill patternType="solid">
        <fgColor rgb="FFFAD7A0"/>
        <bgColor rgb="FFFDEBD0"/>
      </patternFill>
    </fill>
    <fill>
      <patternFill patternType="solid">
        <fgColor rgb="FFFFFFFF"/>
        <bgColor rgb="FFFAFAFA"/>
      </patternFill>
    </fill>
    <fill>
      <patternFill patternType="solid">
        <fgColor rgb="FFFFF8E1"/>
        <bgColor rgb="FFFAFAFA"/>
      </patternFill>
    </fill>
    <fill>
      <patternFill patternType="solid">
        <fgColor rgb="FF1A3A4A"/>
        <bgColor rgb="FF154360"/>
      </patternFill>
    </fill>
    <fill>
      <patternFill patternType="solid">
        <fgColor rgb="FFFDEDEC"/>
        <bgColor rgb="FFF5EEF8"/>
      </patternFill>
    </fill>
    <fill>
      <patternFill patternType="solid">
        <fgColor rgb="FF7D6608"/>
        <bgColor rgb="FF935116"/>
      </patternFill>
    </fill>
    <fill>
      <patternFill patternType="solid">
        <fgColor rgb="FFC9A84C"/>
        <bgColor rgb="FFF0B429"/>
      </patternFill>
    </fill>
    <fill>
      <patternFill patternType="solid">
        <fgColor rgb="FFE8F8F0"/>
        <bgColor rgb="FFE8F8F5"/>
      </patternFill>
    </fill>
    <fill>
      <patternFill patternType="solid">
        <fgColor rgb="FFF8F9FA"/>
        <bgColor rgb="FFFAFAFA"/>
      </patternFill>
    </fill>
    <fill>
      <patternFill patternType="solid">
        <fgColor rgb="FFF0F4FF"/>
        <bgColor rgb="FFEBF5FB"/>
      </patternFill>
    </fill>
    <fill>
      <patternFill patternType="solid">
        <fgColor rgb="FFE8F5E9"/>
        <bgColor rgb="FFE8F8F0"/>
      </patternFill>
    </fill>
    <fill>
      <patternFill patternType="solid">
        <fgColor rgb="FF2C3E50"/>
        <bgColor rgb="FF1A3A4A"/>
      </patternFill>
    </fill>
    <fill>
      <patternFill patternType="solid">
        <fgColor rgb="FF78281F"/>
        <bgColor rgb="FF922B21"/>
      </patternFill>
    </fill>
    <fill>
      <patternFill patternType="solid">
        <fgColor rgb="FF922B21"/>
        <bgColor rgb="FF78281F"/>
      </patternFill>
    </fill>
    <fill>
      <patternFill patternType="solid">
        <fgColor rgb="FF0C0C18"/>
        <bgColor rgb="FF06060D"/>
      </patternFill>
    </fill>
    <fill>
      <patternFill patternType="solid">
        <fgColor rgb="FF34495E"/>
        <bgColor rgb="FF2C3E50"/>
      </patternFill>
    </fill>
  </fills>
  <borders count="38">
    <border>
      <left/>
      <right/>
      <top/>
      <bottom/>
      <diagonal/>
    </border>
    <border>
      <left style="medium">
        <color rgb="FF1A5276"/>
      </left>
      <right style="medium">
        <color rgb="FF1A5276"/>
      </right>
      <top style="medium">
        <color rgb="FF1A5276"/>
      </top>
      <bottom style="medium">
        <color rgb="FF1A5276"/>
      </bottom>
      <diagonal/>
    </border>
    <border>
      <left style="medium">
        <color rgb="FF0E6655"/>
      </left>
      <right style="medium">
        <color rgb="FF0E6655"/>
      </right>
      <top style="medium">
        <color rgb="FF0E6655"/>
      </top>
      <bottom style="medium">
        <color rgb="FF0E6655"/>
      </bottom>
      <diagonal/>
    </border>
    <border>
      <left style="medium">
        <color rgb="FF6C3483"/>
      </left>
      <right style="medium">
        <color rgb="FF6C3483"/>
      </right>
      <top style="medium">
        <color rgb="FF6C3483"/>
      </top>
      <bottom style="medium">
        <color rgb="FF6C3483"/>
      </bottom>
      <diagonal/>
    </border>
    <border>
      <left style="medium">
        <color rgb="FF935116"/>
      </left>
      <right style="medium">
        <color rgb="FF935116"/>
      </right>
      <top style="medium">
        <color rgb="FF935116"/>
      </top>
      <bottom style="medium">
        <color rgb="FF935116"/>
      </bottom>
      <diagonal/>
    </border>
    <border>
      <left style="medium">
        <color rgb="FF06060D"/>
      </left>
      <right style="medium">
        <color rgb="FF06060D"/>
      </right>
      <top style="medium">
        <color rgb="FF06060D"/>
      </top>
      <bottom style="medium">
        <color rgb="FF06060D"/>
      </bottom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thin">
        <color rgb="FFEEEEF4"/>
      </left>
      <right style="thin">
        <color rgb="FFEEEEF4"/>
      </right>
      <top style="thin">
        <color rgb="FFEEEEF4"/>
      </top>
      <bottom style="thin">
        <color rgb="FFEEEEF4"/>
      </bottom>
      <diagonal/>
    </border>
    <border>
      <left style="medium">
        <color rgb="FFC9A84C"/>
      </left>
      <right style="medium">
        <color rgb="FFC9A84C"/>
      </right>
      <top style="medium">
        <color rgb="FFC9A84C"/>
      </top>
      <bottom style="medium">
        <color rgb="FFC9A84C"/>
      </bottom>
      <diagonal/>
    </border>
    <border>
      <left style="thin">
        <color rgb="FFE74F0A"/>
      </left>
      <right style="thin">
        <color rgb="FFE74F0A"/>
      </right>
      <top style="thin">
        <color rgb="FFE74F0A"/>
      </top>
      <bottom style="thin">
        <color rgb="FFE74F0A"/>
      </bottom>
      <diagonal/>
    </border>
    <border>
      <left/>
      <right/>
      <top style="medium">
        <color rgb="FF1A5276"/>
      </top>
      <bottom/>
      <diagonal/>
    </border>
    <border>
      <left/>
      <right style="medium">
        <color rgb="FF1A5276"/>
      </right>
      <top style="medium">
        <color rgb="FF1A5276"/>
      </top>
      <bottom/>
      <diagonal/>
    </border>
    <border>
      <left/>
      <right/>
      <top style="medium">
        <color rgb="FF1A5276"/>
      </top>
      <bottom style="medium">
        <color rgb="FF1A5276"/>
      </bottom>
      <diagonal/>
    </border>
    <border>
      <left/>
      <right style="medium">
        <color rgb="FF1A5276"/>
      </right>
      <top style="medium">
        <color rgb="FF1A5276"/>
      </top>
      <bottom style="medium">
        <color rgb="FF1A5276"/>
      </bottom>
      <diagonal/>
    </border>
    <border>
      <left/>
      <right/>
      <top style="medium">
        <color rgb="FF0E6655"/>
      </top>
      <bottom/>
      <diagonal/>
    </border>
    <border>
      <left/>
      <right style="medium">
        <color rgb="FF0E6655"/>
      </right>
      <top style="medium">
        <color rgb="FF0E6655"/>
      </top>
      <bottom/>
      <diagonal/>
    </border>
    <border>
      <left/>
      <right/>
      <top style="medium">
        <color rgb="FF0E6655"/>
      </top>
      <bottom style="medium">
        <color rgb="FF0E6655"/>
      </bottom>
      <diagonal/>
    </border>
    <border>
      <left/>
      <right style="medium">
        <color rgb="FF0E6655"/>
      </right>
      <top style="medium">
        <color rgb="FF0E6655"/>
      </top>
      <bottom style="medium">
        <color rgb="FF0E6655"/>
      </bottom>
      <diagonal/>
    </border>
    <border>
      <left/>
      <right/>
      <top style="medium">
        <color rgb="FF6C3483"/>
      </top>
      <bottom/>
      <diagonal/>
    </border>
    <border>
      <left/>
      <right style="medium">
        <color rgb="FF6C3483"/>
      </right>
      <top style="medium">
        <color rgb="FF6C3483"/>
      </top>
      <bottom/>
      <diagonal/>
    </border>
    <border>
      <left/>
      <right/>
      <top style="medium">
        <color rgb="FF6C3483"/>
      </top>
      <bottom style="medium">
        <color rgb="FF6C3483"/>
      </bottom>
      <diagonal/>
    </border>
    <border>
      <left/>
      <right style="medium">
        <color rgb="FF6C3483"/>
      </right>
      <top style="medium">
        <color rgb="FF6C3483"/>
      </top>
      <bottom style="medium">
        <color rgb="FF6C3483"/>
      </bottom>
      <diagonal/>
    </border>
    <border>
      <left/>
      <right/>
      <top style="medium">
        <color rgb="FF935116"/>
      </top>
      <bottom/>
      <diagonal/>
    </border>
    <border>
      <left/>
      <right style="medium">
        <color rgb="FF935116"/>
      </right>
      <top style="medium">
        <color rgb="FF935116"/>
      </top>
      <bottom/>
      <diagonal/>
    </border>
    <border>
      <left/>
      <right/>
      <top style="medium">
        <color rgb="FF935116"/>
      </top>
      <bottom style="medium">
        <color rgb="FF935116"/>
      </bottom>
      <diagonal/>
    </border>
    <border>
      <left/>
      <right style="medium">
        <color rgb="FF935116"/>
      </right>
      <top style="medium">
        <color rgb="FF935116"/>
      </top>
      <bottom style="medium">
        <color rgb="FF935116"/>
      </bottom>
      <diagonal/>
    </border>
    <border>
      <left/>
      <right/>
      <top style="thin">
        <color rgb="FFDEE2E6"/>
      </top>
      <bottom/>
      <diagonal/>
    </border>
    <border>
      <left/>
      <right style="thin">
        <color rgb="FFDEE2E6"/>
      </right>
      <top style="thin">
        <color rgb="FFDEE2E6"/>
      </top>
      <bottom/>
      <diagonal/>
    </border>
    <border>
      <left/>
      <right/>
      <top style="thin">
        <color rgb="FFDEE2E6"/>
      </top>
      <bottom style="thin">
        <color rgb="FFDEE2E6"/>
      </bottom>
      <diagonal/>
    </border>
    <border>
      <left/>
      <right style="thin">
        <color rgb="FFDEE2E6"/>
      </right>
      <top style="thin">
        <color rgb="FFDEE2E6"/>
      </top>
      <bottom style="thin">
        <color rgb="FFDEE2E6"/>
      </bottom>
      <diagonal/>
    </border>
    <border>
      <left/>
      <right/>
      <top style="medium">
        <color rgb="FFC9A84C"/>
      </top>
      <bottom/>
      <diagonal/>
    </border>
    <border>
      <left/>
      <right style="medium">
        <color rgb="FFC9A84C"/>
      </right>
      <top style="medium">
        <color rgb="FFC9A84C"/>
      </top>
      <bottom/>
      <diagonal/>
    </border>
    <border>
      <left/>
      <right/>
      <top style="medium">
        <color rgb="FFC9A84C"/>
      </top>
      <bottom style="medium">
        <color rgb="FFC9A84C"/>
      </bottom>
      <diagonal/>
    </border>
    <border>
      <left/>
      <right style="medium">
        <color rgb="FFC9A84C"/>
      </right>
      <top style="medium">
        <color rgb="FFC9A84C"/>
      </top>
      <bottom style="medium">
        <color rgb="FFC9A84C"/>
      </bottom>
      <diagonal/>
    </border>
    <border>
      <left/>
      <right/>
      <top style="thin">
        <color rgb="FFE74F0A"/>
      </top>
      <bottom/>
      <diagonal/>
    </border>
    <border>
      <left/>
      <right style="thin">
        <color rgb="FFE74F0A"/>
      </right>
      <top style="thin">
        <color rgb="FFE74F0A"/>
      </top>
      <bottom/>
      <diagonal/>
    </border>
    <border>
      <left/>
      <right/>
      <top style="thin">
        <color rgb="FFE74F0A"/>
      </top>
      <bottom style="thin">
        <color rgb="FFE74F0A"/>
      </bottom>
      <diagonal/>
    </border>
    <border>
      <left/>
      <right style="thin">
        <color rgb="FFE74F0A"/>
      </right>
      <top style="thin">
        <color rgb="FFE74F0A"/>
      </top>
      <bottom style="thin">
        <color rgb="FFE74F0A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71">
    <xf numFmtId="0" fontId="0" fillId="0" borderId="0" applyAlignment="1" pivotButton="0" quotePrefix="0" xfId="0">
      <alignment horizontal="general" vertical="bottom"/>
    </xf>
    <xf numFmtId="0" fontId="4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general" vertical="bottom"/>
    </xf>
    <xf numFmtId="0" fontId="4" fillId="4" borderId="2" applyAlignment="1" pivotButton="0" quotePrefix="0" xfId="0">
      <alignment horizontal="center" vertical="center" wrapText="1"/>
    </xf>
    <xf numFmtId="0" fontId="4" fillId="5" borderId="3" applyAlignment="1" pivotButton="0" quotePrefix="0" xfId="0">
      <alignment horizontal="center" vertical="center" wrapText="1"/>
    </xf>
    <xf numFmtId="0" fontId="4" fillId="6" borderId="4" applyAlignment="1" pivotButton="0" quotePrefix="0" xfId="0">
      <alignment horizontal="center" vertical="center" wrapText="1"/>
    </xf>
    <xf numFmtId="0" fontId="5" fillId="7" borderId="5" applyAlignment="1" pivotButton="0" quotePrefix="0" xfId="0">
      <alignment horizontal="center" vertical="center" wrapText="1"/>
    </xf>
    <xf numFmtId="0" fontId="6" fillId="2" borderId="6" applyAlignment="1" pivotButton="0" quotePrefix="0" xfId="0">
      <alignment horizontal="center" vertical="center" wrapText="1"/>
    </xf>
    <xf numFmtId="0" fontId="6" fillId="4" borderId="6" applyAlignment="1" pivotButton="0" quotePrefix="0" xfId="0">
      <alignment horizontal="center" vertical="center" wrapText="1"/>
    </xf>
    <xf numFmtId="0" fontId="6" fillId="5" borderId="6" applyAlignment="1" pivotButton="0" quotePrefix="0" xfId="0">
      <alignment horizontal="center" vertical="center" wrapText="1"/>
    </xf>
    <xf numFmtId="0" fontId="6" fillId="6" borderId="6" applyAlignment="1" pivotButton="0" quotePrefix="0" xfId="0">
      <alignment horizontal="center" vertical="center" wrapText="1"/>
    </xf>
    <xf numFmtId="0" fontId="7" fillId="7" borderId="0" applyAlignment="1" pivotButton="0" quotePrefix="0" xfId="0">
      <alignment horizontal="center" vertical="center" wrapText="1"/>
    </xf>
    <xf numFmtId="0" fontId="8" fillId="8" borderId="6" applyAlignment="1" pivotButton="0" quotePrefix="0" xfId="0">
      <alignment horizontal="left" vertical="center" wrapText="1" indent="1"/>
    </xf>
    <xf numFmtId="0" fontId="8" fillId="8" borderId="1" applyAlignment="1" pivotButton="0" quotePrefix="0" xfId="0">
      <alignment horizontal="center" vertical="center" wrapText="1"/>
    </xf>
    <xf numFmtId="0" fontId="8" fillId="9" borderId="2" applyAlignment="1" pivotButton="0" quotePrefix="0" xfId="0">
      <alignment horizontal="center" vertical="center" wrapText="1"/>
    </xf>
    <xf numFmtId="0" fontId="8" fillId="10" borderId="3" applyAlignment="1" pivotButton="0" quotePrefix="0" xfId="0">
      <alignment horizontal="center" vertical="center" wrapText="1"/>
    </xf>
    <xf numFmtId="0" fontId="8" fillId="11" borderId="4" applyAlignment="1" pivotButton="0" quotePrefix="0" xfId="0">
      <alignment horizontal="center" vertical="center" wrapText="1"/>
    </xf>
    <xf numFmtId="0" fontId="9" fillId="12" borderId="7" applyAlignment="1" pivotButton="0" quotePrefix="0" xfId="0">
      <alignment horizontal="left" vertical="center" wrapText="1" indent="1"/>
    </xf>
    <xf numFmtId="0" fontId="8" fillId="2" borderId="6" applyAlignment="1" pivotButton="0" quotePrefix="0" xfId="0">
      <alignment horizontal="left" vertical="center" indent="1"/>
    </xf>
    <xf numFmtId="49" fontId="10" fillId="13" borderId="6" applyAlignment="1" pivotButton="0" quotePrefix="0" xfId="0">
      <alignment horizontal="right" vertical="center"/>
    </xf>
    <xf numFmtId="0" fontId="11" fillId="14" borderId="6" applyAlignment="1" pivotButton="0" quotePrefix="0" xfId="0">
      <alignment horizontal="left" vertical="center" indent="1"/>
    </xf>
    <xf numFmtId="0" fontId="8" fillId="4" borderId="6" applyAlignment="1" pivotButton="0" quotePrefix="0" xfId="0">
      <alignment horizontal="left" vertical="center" indent="1"/>
    </xf>
    <xf numFmtId="49" fontId="10" fillId="15" borderId="6" applyAlignment="1" pivotButton="0" quotePrefix="0" xfId="0">
      <alignment horizontal="right" vertical="center"/>
    </xf>
    <xf numFmtId="0" fontId="11" fillId="16" borderId="6" applyAlignment="1" pivotButton="0" quotePrefix="0" xfId="0">
      <alignment horizontal="left" vertical="center" indent="1"/>
    </xf>
    <xf numFmtId="0" fontId="8" fillId="5" borderId="6" applyAlignment="1" pivotButton="0" quotePrefix="0" xfId="0">
      <alignment horizontal="left" vertical="center" indent="1"/>
    </xf>
    <xf numFmtId="49" fontId="10" fillId="17" borderId="6" applyAlignment="1" pivotButton="0" quotePrefix="0" xfId="0">
      <alignment horizontal="right" vertical="center"/>
    </xf>
    <xf numFmtId="0" fontId="11" fillId="18" borderId="6" applyAlignment="1" pivotButton="0" quotePrefix="0" xfId="0">
      <alignment horizontal="left" vertical="center" indent="1"/>
    </xf>
    <xf numFmtId="0" fontId="8" fillId="6" borderId="6" applyAlignment="1" pivotButton="0" quotePrefix="0" xfId="0">
      <alignment horizontal="left" vertical="center" indent="1"/>
    </xf>
    <xf numFmtId="49" fontId="10" fillId="19" borderId="6" applyAlignment="1" pivotButton="0" quotePrefix="0" xfId="0">
      <alignment horizontal="right" vertical="center"/>
    </xf>
    <xf numFmtId="0" fontId="11" fillId="20" borderId="6" applyAlignment="1" pivotButton="0" quotePrefix="0" xfId="0">
      <alignment horizontal="left" vertical="center" indent="1"/>
    </xf>
    <xf numFmtId="4" fontId="10" fillId="13" borderId="6" applyAlignment="1" pivotButton="0" quotePrefix="0" xfId="0">
      <alignment horizontal="right" vertical="center"/>
    </xf>
    <xf numFmtId="4" fontId="10" fillId="15" borderId="6" applyAlignment="1" pivotButton="0" quotePrefix="0" xfId="0">
      <alignment horizontal="right" vertical="center"/>
    </xf>
    <xf numFmtId="4" fontId="10" fillId="17" borderId="6" applyAlignment="1" pivotButton="0" quotePrefix="0" xfId="0">
      <alignment horizontal="right" vertical="center"/>
    </xf>
    <xf numFmtId="4" fontId="10" fillId="19" borderId="6" applyAlignment="1" pivotButton="0" quotePrefix="0" xfId="0">
      <alignment horizontal="right" vertical="center"/>
    </xf>
    <xf numFmtId="164" fontId="10" fillId="13" borderId="6" applyAlignment="1" pivotButton="0" quotePrefix="0" xfId="0">
      <alignment horizontal="right" vertical="center"/>
    </xf>
    <xf numFmtId="164" fontId="10" fillId="15" borderId="6" applyAlignment="1" pivotButton="0" quotePrefix="0" xfId="0">
      <alignment horizontal="right" vertical="center"/>
    </xf>
    <xf numFmtId="164" fontId="10" fillId="17" borderId="6" applyAlignment="1" pivotButton="0" quotePrefix="0" xfId="0">
      <alignment horizontal="right" vertical="center"/>
    </xf>
    <xf numFmtId="164" fontId="10" fillId="19" borderId="6" applyAlignment="1" pivotButton="0" quotePrefix="0" xfId="0">
      <alignment horizontal="right" vertical="center"/>
    </xf>
    <xf numFmtId="0" fontId="0" fillId="21" borderId="0" applyAlignment="1" pivotButton="0" quotePrefix="0" xfId="0">
      <alignment horizontal="general" vertical="bottom"/>
    </xf>
    <xf numFmtId="0" fontId="8" fillId="4" borderId="6" applyAlignment="1" pivotButton="0" quotePrefix="0" xfId="0">
      <alignment horizontal="left" vertical="center" wrapText="1" indent="1"/>
    </xf>
    <xf numFmtId="0" fontId="12" fillId="2" borderId="6" applyAlignment="1" pivotButton="0" quotePrefix="0" xfId="0">
      <alignment horizontal="left" vertical="center" indent="1"/>
    </xf>
    <xf numFmtId="0" fontId="13" fillId="14" borderId="6" applyAlignment="1" pivotButton="0" quotePrefix="0" xfId="0">
      <alignment horizontal="left" vertical="center" indent="1"/>
    </xf>
    <xf numFmtId="0" fontId="12" fillId="4" borderId="6" applyAlignment="1" pivotButton="0" quotePrefix="0" xfId="0">
      <alignment horizontal="left" vertical="center" indent="1"/>
    </xf>
    <xf numFmtId="165" fontId="10" fillId="15" borderId="6" applyAlignment="1" pivotButton="0" quotePrefix="0" xfId="0">
      <alignment horizontal="right" vertical="center"/>
    </xf>
    <xf numFmtId="0" fontId="13" fillId="16" borderId="6" applyAlignment="1" pivotButton="0" quotePrefix="0" xfId="0">
      <alignment horizontal="left" vertical="center" indent="1"/>
    </xf>
    <xf numFmtId="0" fontId="12" fillId="5" borderId="6" applyAlignment="1" pivotButton="0" quotePrefix="0" xfId="0">
      <alignment horizontal="left" vertical="center" indent="1"/>
    </xf>
    <xf numFmtId="166" fontId="10" fillId="17" borderId="6" applyAlignment="1" pivotButton="0" quotePrefix="0" xfId="0">
      <alignment horizontal="right" vertical="center"/>
    </xf>
    <xf numFmtId="0" fontId="13" fillId="18" borderId="6" applyAlignment="1" pivotButton="0" quotePrefix="0" xfId="0">
      <alignment horizontal="left" vertical="center" indent="1"/>
    </xf>
    <xf numFmtId="0" fontId="12" fillId="6" borderId="6" applyAlignment="1" pivotButton="0" quotePrefix="0" xfId="0">
      <alignment horizontal="left" vertical="center" indent="1"/>
    </xf>
    <xf numFmtId="165" fontId="10" fillId="19" borderId="6" applyAlignment="1" pivotButton="0" quotePrefix="0" xfId="0">
      <alignment horizontal="right" vertical="center"/>
    </xf>
    <xf numFmtId="0" fontId="13" fillId="20" borderId="6" applyAlignment="1" pivotButton="0" quotePrefix="0" xfId="0">
      <alignment horizontal="left" vertical="center" indent="1"/>
    </xf>
    <xf numFmtId="3" fontId="14" fillId="13" borderId="6" applyAlignment="1" pivotButton="0" quotePrefix="0" xfId="0">
      <alignment horizontal="right" vertical="center"/>
    </xf>
    <xf numFmtId="3" fontId="14" fillId="15" borderId="6" applyAlignment="1" pivotButton="0" quotePrefix="0" xfId="0">
      <alignment horizontal="right" vertical="center"/>
    </xf>
    <xf numFmtId="3" fontId="14" fillId="17" borderId="6" applyAlignment="1" pivotButton="0" quotePrefix="0" xfId="0">
      <alignment horizontal="right" vertical="center"/>
    </xf>
    <xf numFmtId="3" fontId="14" fillId="19" borderId="6" applyAlignment="1" pivotButton="0" quotePrefix="0" xfId="0">
      <alignment horizontal="right" vertical="center"/>
    </xf>
    <xf numFmtId="0" fontId="15" fillId="14" borderId="6" applyAlignment="1" pivotButton="0" quotePrefix="0" xfId="0">
      <alignment horizontal="left" vertical="center" indent="1"/>
    </xf>
    <xf numFmtId="166" fontId="16" fillId="13" borderId="6" applyAlignment="1" pivotButton="0" quotePrefix="0" xfId="0">
      <alignment horizontal="right" vertical="center"/>
    </xf>
    <xf numFmtId="0" fontId="17" fillId="14" borderId="6" applyAlignment="1" pivotButton="0" quotePrefix="0" xfId="0">
      <alignment horizontal="left" vertical="center" indent="1"/>
    </xf>
    <xf numFmtId="0" fontId="15" fillId="16" borderId="6" applyAlignment="1" pivotButton="0" quotePrefix="0" xfId="0">
      <alignment horizontal="left" vertical="center" indent="1"/>
    </xf>
    <xf numFmtId="166" fontId="16" fillId="15" borderId="6" applyAlignment="1" pivotButton="0" quotePrefix="0" xfId="0">
      <alignment horizontal="right" vertical="center"/>
    </xf>
    <xf numFmtId="0" fontId="17" fillId="16" borderId="6" applyAlignment="1" pivotButton="0" quotePrefix="0" xfId="0">
      <alignment horizontal="left" vertical="center" indent="1"/>
    </xf>
    <xf numFmtId="0" fontId="15" fillId="18" borderId="6" applyAlignment="1" pivotButton="0" quotePrefix="0" xfId="0">
      <alignment horizontal="left" vertical="center" indent="1"/>
    </xf>
    <xf numFmtId="167" fontId="16" fillId="17" borderId="6" applyAlignment="1" pivotButton="0" quotePrefix="0" xfId="0">
      <alignment horizontal="right" vertical="center"/>
    </xf>
    <xf numFmtId="0" fontId="17" fillId="18" borderId="6" applyAlignment="1" pivotButton="0" quotePrefix="0" xfId="0">
      <alignment horizontal="left" vertical="center" indent="1"/>
    </xf>
    <xf numFmtId="0" fontId="15" fillId="20" borderId="6" applyAlignment="1" pivotButton="0" quotePrefix="0" xfId="0">
      <alignment horizontal="left" vertical="center" indent="1"/>
    </xf>
    <xf numFmtId="167" fontId="16" fillId="19" borderId="6" applyAlignment="1" pivotButton="0" quotePrefix="0" xfId="0">
      <alignment horizontal="right" vertical="center"/>
    </xf>
    <xf numFmtId="0" fontId="17" fillId="20" borderId="6" applyAlignment="1" pivotButton="0" quotePrefix="0" xfId="0">
      <alignment horizontal="left" vertical="center" indent="1"/>
    </xf>
    <xf numFmtId="165" fontId="14" fillId="13" borderId="6" applyAlignment="1" pivotButton="0" quotePrefix="0" xfId="0">
      <alignment horizontal="right" vertical="center"/>
    </xf>
    <xf numFmtId="165" fontId="14" fillId="15" borderId="6" applyAlignment="1" pivotButton="0" quotePrefix="0" xfId="0">
      <alignment horizontal="right" vertical="center"/>
    </xf>
    <xf numFmtId="165" fontId="14" fillId="17" borderId="6" applyAlignment="1" pivotButton="0" quotePrefix="0" xfId="0">
      <alignment horizontal="right" vertical="center"/>
    </xf>
    <xf numFmtId="165" fontId="14" fillId="19" borderId="6" applyAlignment="1" pivotButton="0" quotePrefix="0" xfId="0">
      <alignment horizontal="right" vertical="center"/>
    </xf>
    <xf numFmtId="0" fontId="8" fillId="5" borderId="6" applyAlignment="1" pivotButton="0" quotePrefix="0" xfId="0">
      <alignment horizontal="left" vertical="center" wrapText="1" indent="1"/>
    </xf>
    <xf numFmtId="0" fontId="18" fillId="14" borderId="6" applyAlignment="1" pivotButton="0" quotePrefix="0" xfId="0">
      <alignment horizontal="left" vertical="center" indent="1"/>
    </xf>
    <xf numFmtId="164" fontId="19" fillId="13" borderId="6" applyAlignment="1" pivotButton="0" quotePrefix="0" xfId="0">
      <alignment horizontal="right" vertical="center"/>
    </xf>
    <xf numFmtId="0" fontId="20" fillId="14" borderId="6" applyAlignment="1" pivotButton="0" quotePrefix="0" xfId="0">
      <alignment horizontal="left" vertical="center" indent="1"/>
    </xf>
    <xf numFmtId="0" fontId="18" fillId="16" borderId="6" applyAlignment="1" pivotButton="0" quotePrefix="0" xfId="0">
      <alignment horizontal="left" vertical="center" indent="1"/>
    </xf>
    <xf numFmtId="164" fontId="19" fillId="15" borderId="6" applyAlignment="1" pivotButton="0" quotePrefix="0" xfId="0">
      <alignment horizontal="right" vertical="center"/>
    </xf>
    <xf numFmtId="0" fontId="20" fillId="16" borderId="6" applyAlignment="1" pivotButton="0" quotePrefix="0" xfId="0">
      <alignment horizontal="left" vertical="center" indent="1"/>
    </xf>
    <xf numFmtId="0" fontId="18" fillId="18" borderId="6" applyAlignment="1" pivotButton="0" quotePrefix="0" xfId="0">
      <alignment horizontal="left" vertical="center" indent="1"/>
    </xf>
    <xf numFmtId="164" fontId="19" fillId="17" borderId="6" applyAlignment="1" pivotButton="0" quotePrefix="0" xfId="0">
      <alignment horizontal="right" vertical="center"/>
    </xf>
    <xf numFmtId="0" fontId="20" fillId="18" borderId="6" applyAlignment="1" pivotButton="0" quotePrefix="0" xfId="0">
      <alignment horizontal="left" vertical="center" indent="1"/>
    </xf>
    <xf numFmtId="0" fontId="18" fillId="20" borderId="6" applyAlignment="1" pivotButton="0" quotePrefix="0" xfId="0">
      <alignment horizontal="left" vertical="center" indent="1"/>
    </xf>
    <xf numFmtId="164" fontId="19" fillId="19" borderId="6" applyAlignment="1" pivotButton="0" quotePrefix="0" xfId="0">
      <alignment horizontal="right" vertical="center"/>
    </xf>
    <xf numFmtId="0" fontId="20" fillId="20" borderId="6" applyAlignment="1" pivotButton="0" quotePrefix="0" xfId="0">
      <alignment horizontal="left" vertical="center" indent="1"/>
    </xf>
    <xf numFmtId="3" fontId="19" fillId="13" borderId="6" applyAlignment="1" pivotButton="0" quotePrefix="0" xfId="0">
      <alignment horizontal="right" vertical="center"/>
    </xf>
    <xf numFmtId="3" fontId="19" fillId="15" borderId="6" applyAlignment="1" pivotButton="0" quotePrefix="0" xfId="0">
      <alignment horizontal="right" vertical="center"/>
    </xf>
    <xf numFmtId="168" fontId="19" fillId="17" borderId="6" applyAlignment="1" pivotButton="0" quotePrefix="0" xfId="0">
      <alignment horizontal="right" vertical="center"/>
    </xf>
    <xf numFmtId="168" fontId="19" fillId="19" borderId="6" applyAlignment="1" pivotButton="0" quotePrefix="0" xfId="0">
      <alignment horizontal="right" vertical="center"/>
    </xf>
    <xf numFmtId="166" fontId="21" fillId="22" borderId="6" applyAlignment="1" pivotButton="0" quotePrefix="0" xfId="0">
      <alignment horizontal="right" vertical="center"/>
    </xf>
    <xf numFmtId="0" fontId="22" fillId="14" borderId="6" applyAlignment="1" pivotButton="0" quotePrefix="0" xfId="0">
      <alignment horizontal="left" vertical="center" indent="1"/>
    </xf>
    <xf numFmtId="0" fontId="23" fillId="13" borderId="6" applyAlignment="1" pivotButton="0" quotePrefix="0" xfId="0">
      <alignment horizontal="left" vertical="center" indent="2"/>
    </xf>
    <xf numFmtId="0" fontId="22" fillId="16" borderId="6" applyAlignment="1" pivotButton="0" quotePrefix="0" xfId="0">
      <alignment horizontal="left" vertical="center" indent="1"/>
    </xf>
    <xf numFmtId="0" fontId="23" fillId="15" borderId="6" applyAlignment="1" pivotButton="0" quotePrefix="0" xfId="0">
      <alignment horizontal="left" vertical="center" indent="2"/>
    </xf>
    <xf numFmtId="0" fontId="22" fillId="18" borderId="6" applyAlignment="1" pivotButton="0" quotePrefix="0" xfId="0">
      <alignment horizontal="left" vertical="center" indent="1"/>
    </xf>
    <xf numFmtId="0" fontId="23" fillId="17" borderId="6" applyAlignment="1" pivotButton="0" quotePrefix="0" xfId="0">
      <alignment horizontal="left" vertical="center" indent="2"/>
    </xf>
    <xf numFmtId="0" fontId="22" fillId="20" borderId="6" applyAlignment="1" pivotButton="0" quotePrefix="0" xfId="0">
      <alignment horizontal="left" vertical="center" indent="1"/>
    </xf>
    <xf numFmtId="0" fontId="23" fillId="19" borderId="6" applyAlignment="1" pivotButton="0" quotePrefix="0" xfId="0">
      <alignment horizontal="left" vertical="center" indent="2"/>
    </xf>
    <xf numFmtId="0" fontId="8" fillId="2" borderId="1" applyAlignment="1" pivotButton="0" quotePrefix="0" xfId="0">
      <alignment horizontal="center" vertical="center" wrapText="1"/>
    </xf>
    <xf numFmtId="0" fontId="8" fillId="4" borderId="2" applyAlignment="1" pivotButton="0" quotePrefix="0" xfId="0">
      <alignment horizontal="center" vertical="center" wrapText="1"/>
    </xf>
    <xf numFmtId="0" fontId="8" fillId="5" borderId="3" applyAlignment="1" pivotButton="0" quotePrefix="0" xfId="0">
      <alignment horizontal="center" vertical="center" wrapText="1"/>
    </xf>
    <xf numFmtId="0" fontId="8" fillId="6" borderId="4" applyAlignment="1" pivotButton="0" quotePrefix="0" xfId="0">
      <alignment horizontal="center" vertical="center" wrapText="1"/>
    </xf>
    <xf numFmtId="0" fontId="24" fillId="23" borderId="6" applyAlignment="1" pivotButton="0" quotePrefix="0" xfId="0">
      <alignment horizontal="center" vertical="center" wrapText="1"/>
    </xf>
    <xf numFmtId="0" fontId="8" fillId="6" borderId="6" applyAlignment="1" pivotButton="0" quotePrefix="0" xfId="0">
      <alignment horizontal="left" vertical="center" wrapText="1" indent="1"/>
    </xf>
    <xf numFmtId="0" fontId="25" fillId="24" borderId="6" applyAlignment="1" pivotButton="0" quotePrefix="0" xfId="0">
      <alignment horizontal="center" vertical="center" wrapText="1"/>
    </xf>
    <xf numFmtId="166" fontId="26" fillId="24" borderId="6" applyAlignment="1" pivotButton="0" quotePrefix="0" xfId="0">
      <alignment horizontal="right" vertical="center"/>
    </xf>
    <xf numFmtId="0" fontId="27" fillId="24" borderId="6" applyAlignment="1" pivotButton="0" quotePrefix="0" xfId="0">
      <alignment horizontal="left" vertical="center" indent="1"/>
    </xf>
    <xf numFmtId="0" fontId="8" fillId="25" borderId="6" applyAlignment="1" pivotButton="0" quotePrefix="0" xfId="0">
      <alignment horizontal="left" vertical="center" wrapText="1" indent="1"/>
    </xf>
    <xf numFmtId="0" fontId="28" fillId="26" borderId="8" applyAlignment="1" pivotButton="0" quotePrefix="0" xfId="0">
      <alignment horizontal="center" vertical="center" wrapText="1"/>
    </xf>
    <xf numFmtId="0" fontId="29" fillId="13" borderId="6" applyAlignment="1" pivotButton="0" quotePrefix="0" xfId="0">
      <alignment horizontal="center" vertical="center" wrapText="1"/>
    </xf>
    <xf numFmtId="166" fontId="30" fillId="13" borderId="6" applyAlignment="1" pivotButton="0" quotePrefix="0" xfId="0">
      <alignment horizontal="right" vertical="center"/>
    </xf>
    <xf numFmtId="0" fontId="31" fillId="13" borderId="6" applyAlignment="1" pivotButton="0" quotePrefix="0" xfId="0">
      <alignment horizontal="left" vertical="center" indent="1"/>
    </xf>
    <xf numFmtId="0" fontId="32" fillId="15" borderId="6" applyAlignment="1" pivotButton="0" quotePrefix="0" xfId="0">
      <alignment horizontal="center" vertical="center" wrapText="1"/>
    </xf>
    <xf numFmtId="166" fontId="33" fillId="15" borderId="6" applyAlignment="1" pivotButton="0" quotePrefix="0" xfId="0">
      <alignment horizontal="right" vertical="center"/>
    </xf>
    <xf numFmtId="0" fontId="34" fillId="15" borderId="6" applyAlignment="1" pivotButton="0" quotePrefix="0" xfId="0">
      <alignment horizontal="left" vertical="center" indent="1"/>
    </xf>
    <xf numFmtId="0" fontId="35" fillId="17" borderId="6" applyAlignment="1" pivotButton="0" quotePrefix="0" xfId="0">
      <alignment horizontal="center" vertical="center" wrapText="1"/>
    </xf>
    <xf numFmtId="166" fontId="36" fillId="17" borderId="6" applyAlignment="1" pivotButton="0" quotePrefix="0" xfId="0">
      <alignment horizontal="right" vertical="center"/>
    </xf>
    <xf numFmtId="0" fontId="37" fillId="17" borderId="6" applyAlignment="1" pivotButton="0" quotePrefix="0" xfId="0">
      <alignment horizontal="left" vertical="center" indent="1"/>
    </xf>
    <xf numFmtId="0" fontId="38" fillId="19" borderId="6" applyAlignment="1" pivotButton="0" quotePrefix="0" xfId="0">
      <alignment horizontal="center" vertical="center" wrapText="1"/>
    </xf>
    <xf numFmtId="166" fontId="39" fillId="19" borderId="6" applyAlignment="1" pivotButton="0" quotePrefix="0" xfId="0">
      <alignment horizontal="right" vertical="center"/>
    </xf>
    <xf numFmtId="0" fontId="40" fillId="19" borderId="6" applyAlignment="1" pivotButton="0" quotePrefix="0" xfId="0">
      <alignment horizontal="left" vertical="center" indent="1"/>
    </xf>
    <xf numFmtId="166" fontId="19" fillId="13" borderId="6" applyAlignment="1" pivotButton="0" quotePrefix="0" xfId="0">
      <alignment horizontal="right" vertical="center"/>
    </xf>
    <xf numFmtId="166" fontId="19" fillId="15" borderId="6" applyAlignment="1" pivotButton="0" quotePrefix="0" xfId="0">
      <alignment horizontal="right" vertical="center"/>
    </xf>
    <xf numFmtId="166" fontId="19" fillId="17" borderId="6" applyAlignment="1" pivotButton="0" quotePrefix="0" xfId="0">
      <alignment horizontal="right" vertical="center"/>
    </xf>
    <xf numFmtId="166" fontId="19" fillId="19" borderId="6" applyAlignment="1" pivotButton="0" quotePrefix="0" xfId="0">
      <alignment horizontal="right" vertical="center"/>
    </xf>
    <xf numFmtId="166" fontId="21" fillId="24" borderId="6" applyAlignment="1" pivotButton="0" quotePrefix="0" xfId="0">
      <alignment horizontal="right" vertical="center"/>
    </xf>
    <xf numFmtId="10" fontId="10" fillId="13" borderId="6" applyAlignment="1" pivotButton="0" quotePrefix="0" xfId="0">
      <alignment horizontal="right" vertical="center"/>
    </xf>
    <xf numFmtId="10" fontId="10" fillId="15" borderId="6" applyAlignment="1" pivotButton="0" quotePrefix="0" xfId="0">
      <alignment horizontal="right" vertical="center"/>
    </xf>
    <xf numFmtId="10" fontId="10" fillId="17" borderId="6" applyAlignment="1" pivotButton="0" quotePrefix="0" xfId="0">
      <alignment horizontal="right" vertical="center"/>
    </xf>
    <xf numFmtId="10" fontId="10" fillId="19" borderId="6" applyAlignment="1" pivotButton="0" quotePrefix="0" xfId="0">
      <alignment horizontal="right" vertical="center"/>
    </xf>
    <xf numFmtId="164" fontId="21" fillId="22" borderId="6" applyAlignment="1" pivotButton="0" quotePrefix="0" xfId="0">
      <alignment horizontal="right" vertical="center"/>
    </xf>
    <xf numFmtId="10" fontId="21" fillId="27" borderId="6" applyAlignment="1" pivotButton="0" quotePrefix="0" xfId="0">
      <alignment horizontal="right" vertical="center"/>
    </xf>
    <xf numFmtId="0" fontId="41" fillId="24" borderId="9" applyAlignment="1" pivotButton="0" quotePrefix="0" xfId="0">
      <alignment horizontal="center" vertical="center" wrapText="1"/>
    </xf>
    <xf numFmtId="0" fontId="42" fillId="0" borderId="0" applyAlignment="1" pivotButton="0" quotePrefix="0" xfId="0">
      <alignment horizontal="center" vertical="center" wrapText="1"/>
    </xf>
    <xf numFmtId="0" fontId="0" fillId="7" borderId="0" applyAlignment="1" pivotButton="0" quotePrefix="0" xfId="0">
      <alignment horizontal="general" vertical="bottom"/>
    </xf>
    <xf numFmtId="0" fontId="43" fillId="7" borderId="0" applyAlignment="1" pivotButton="0" quotePrefix="0" xfId="0">
      <alignment horizontal="center" vertical="center" wrapText="1"/>
    </xf>
    <xf numFmtId="0" fontId="44" fillId="7" borderId="0" applyAlignment="1" pivotButton="0" quotePrefix="0" xfId="0">
      <alignment horizontal="center" vertical="center" wrapText="1"/>
    </xf>
    <xf numFmtId="0" fontId="45" fillId="7" borderId="0" applyAlignment="1" pivotButton="0" quotePrefix="0" xfId="0">
      <alignment horizontal="center" vertical="center" wrapText="1"/>
    </xf>
    <xf numFmtId="0" fontId="46" fillId="7" borderId="0" applyAlignment="1" pivotButton="0" quotePrefix="0" xfId="0">
      <alignment horizontal="center" vertical="center" wrapText="1"/>
    </xf>
    <xf numFmtId="0" fontId="47" fillId="7" borderId="0" applyAlignment="1" pivotButton="0" quotePrefix="0" xfId="0">
      <alignment horizontal="center" vertical="center" wrapText="1"/>
    </xf>
    <xf numFmtId="0" fontId="48" fillId="7" borderId="0" applyAlignment="1" pivotButton="0" quotePrefix="0" xfId="0">
      <alignment horizontal="center" vertical="center" wrapText="1"/>
    </xf>
    <xf numFmtId="0" fontId="5" fillId="7" borderId="0" applyAlignment="1" pivotButton="0" quotePrefix="0" xfId="0">
      <alignment horizontal="left" vertical="center" indent="1"/>
    </xf>
    <xf numFmtId="0" fontId="49" fillId="7" borderId="0" applyAlignment="1" pivotButton="0" quotePrefix="0" xfId="0">
      <alignment horizontal="left" vertical="center" indent="1"/>
    </xf>
    <xf numFmtId="0" fontId="50" fillId="7" borderId="0" applyAlignment="1" pivotButton="0" quotePrefix="0" xfId="0">
      <alignment horizontal="center" vertical="center" wrapText="1"/>
    </xf>
    <xf numFmtId="0" fontId="51" fillId="7" borderId="0" applyAlignment="1" pivotButton="0" quotePrefix="0" xfId="0">
      <alignment horizontal="center" vertical="center" wrapText="1"/>
    </xf>
    <xf numFmtId="0" fontId="52" fillId="26" borderId="8" applyAlignment="1" pivotButton="0" quotePrefix="0" xfId="0">
      <alignment horizontal="center" vertical="center" wrapText="1"/>
    </xf>
    <xf numFmtId="0" fontId="53" fillId="28" borderId="6" applyAlignment="1" pivotButton="0" quotePrefix="0" xfId="0">
      <alignment horizontal="center" vertical="center" wrapText="1"/>
    </xf>
    <xf numFmtId="0" fontId="53" fillId="28" borderId="6" applyAlignment="1" pivotButton="0" quotePrefix="0" xfId="0">
      <alignment horizontal="left" vertical="center" indent="1"/>
    </xf>
    <xf numFmtId="0" fontId="53" fillId="21" borderId="6" applyAlignment="1" pivotButton="0" quotePrefix="0" xfId="0">
      <alignment horizontal="center" vertical="center" wrapText="1"/>
    </xf>
    <xf numFmtId="0" fontId="53" fillId="21" borderId="6" applyAlignment="1" pivotButton="0" quotePrefix="0" xfId="0">
      <alignment horizontal="left" vertical="center" indent="1"/>
    </xf>
    <xf numFmtId="0" fontId="54" fillId="0" borderId="0" applyAlignment="1" pivotButton="0" quotePrefix="0" xfId="0">
      <alignment horizontal="center" vertical="center" wrapText="1"/>
    </xf>
    <xf numFmtId="0" fontId="55" fillId="7" borderId="8" applyAlignment="1" pivotButton="0" quotePrefix="0" xfId="0">
      <alignment horizontal="center" vertical="center" wrapText="1"/>
    </xf>
    <xf numFmtId="0" fontId="54" fillId="12" borderId="6" applyAlignment="1" pivotButton="0" quotePrefix="0" xfId="0">
      <alignment horizontal="center" vertical="center" wrapText="1"/>
    </xf>
    <xf numFmtId="0" fontId="8" fillId="2" borderId="6" applyAlignment="1" pivotButton="0" quotePrefix="0" xfId="0">
      <alignment horizontal="left" vertical="center" wrapText="1" indent="1"/>
    </xf>
    <xf numFmtId="0" fontId="56" fillId="28" borderId="6" applyAlignment="1" pivotButton="0" quotePrefix="0" xfId="0">
      <alignment horizontal="left" vertical="center" indent="1"/>
    </xf>
    <xf numFmtId="4" fontId="57" fillId="14" borderId="6" applyAlignment="1" pivotButton="0" quotePrefix="0" xfId="0">
      <alignment horizontal="right" vertical="center"/>
    </xf>
    <xf numFmtId="0" fontId="58" fillId="28" borderId="6" applyAlignment="1" pivotButton="0" quotePrefix="0" xfId="0">
      <alignment horizontal="left" vertical="center" indent="1"/>
    </xf>
    <xf numFmtId="0" fontId="54" fillId="28" borderId="6" applyAlignment="1" pivotButton="0" quotePrefix="0" xfId="0">
      <alignment horizontal="left" vertical="center" indent="1"/>
    </xf>
    <xf numFmtId="3" fontId="57" fillId="14" borderId="6" applyAlignment="1" pivotButton="0" quotePrefix="0" xfId="0">
      <alignment horizontal="right" vertical="center"/>
    </xf>
    <xf numFmtId="0" fontId="56" fillId="29" borderId="6" applyAlignment="1" pivotButton="0" quotePrefix="0" xfId="0">
      <alignment horizontal="left" vertical="center" indent="1"/>
    </xf>
    <xf numFmtId="169" fontId="59" fillId="30" borderId="6" applyAlignment="1" pivotButton="0" quotePrefix="0" xfId="0">
      <alignment horizontal="right" vertical="center"/>
    </xf>
    <xf numFmtId="0" fontId="58" fillId="29" borderId="6" applyAlignment="1" pivotButton="0" quotePrefix="0" xfId="0">
      <alignment horizontal="left" vertical="center" indent="1"/>
    </xf>
    <xf numFmtId="0" fontId="60" fillId="29" borderId="6" applyAlignment="1" pivotButton="0" quotePrefix="0" xfId="0">
      <alignment horizontal="left" vertical="center" indent="1"/>
    </xf>
    <xf numFmtId="4" fontId="59" fillId="30" borderId="6" applyAlignment="1" pivotButton="0" quotePrefix="0" xfId="0">
      <alignment horizontal="right" vertical="center"/>
    </xf>
    <xf numFmtId="0" fontId="56" fillId="22" borderId="6" applyAlignment="1" pivotButton="0" quotePrefix="0" xfId="0">
      <alignment horizontal="left" vertical="center" indent="1"/>
    </xf>
    <xf numFmtId="10" fontId="59" fillId="30" borderId="6" applyAlignment="1" pivotButton="0" quotePrefix="0" xfId="0">
      <alignment horizontal="right" vertical="center"/>
    </xf>
    <xf numFmtId="0" fontId="58" fillId="22" borderId="6" applyAlignment="1" pivotButton="0" quotePrefix="0" xfId="0">
      <alignment horizontal="left" vertical="center" indent="1"/>
    </xf>
    <xf numFmtId="0" fontId="8" fillId="31" borderId="6" applyAlignment="1" pivotButton="0" quotePrefix="0" xfId="0">
      <alignment horizontal="center" vertical="center" wrapText="1"/>
    </xf>
    <xf numFmtId="0" fontId="61" fillId="28" borderId="6" applyAlignment="1" pivotButton="0" quotePrefix="0" xfId="0">
      <alignment horizontal="center" vertical="center" wrapText="1"/>
    </xf>
    <xf numFmtId="169" fontId="62" fillId="28" borderId="6" applyAlignment="1" pivotButton="0" quotePrefix="0" xfId="0">
      <alignment horizontal="right" vertical="center"/>
    </xf>
    <xf numFmtId="4" fontId="62" fillId="28" borderId="6" applyAlignment="1" pivotButton="0" quotePrefix="0" xfId="0">
      <alignment horizontal="right" vertical="center"/>
    </xf>
    <xf numFmtId="169" fontId="62" fillId="30" borderId="6" applyAlignment="1" pivotButton="0" quotePrefix="0" xfId="0">
      <alignment horizontal="right" vertical="center"/>
    </xf>
    <xf numFmtId="0" fontId="61" fillId="21" borderId="6" applyAlignment="1" pivotButton="0" quotePrefix="0" xfId="0">
      <alignment horizontal="center" vertical="center" wrapText="1"/>
    </xf>
    <xf numFmtId="169" fontId="62" fillId="21" borderId="6" applyAlignment="1" pivotButton="0" quotePrefix="0" xfId="0">
      <alignment horizontal="right" vertical="center"/>
    </xf>
    <xf numFmtId="4" fontId="62" fillId="21" borderId="6" applyAlignment="1" pivotButton="0" quotePrefix="0" xfId="0">
      <alignment horizontal="right" vertical="center"/>
    </xf>
    <xf numFmtId="0" fontId="8" fillId="9" borderId="6" applyAlignment="1" pivotButton="0" quotePrefix="0" xfId="0">
      <alignment horizontal="left" vertical="center" wrapText="1" indent="1"/>
    </xf>
    <xf numFmtId="10" fontId="60" fillId="30" borderId="6" applyAlignment="1" pivotButton="0" quotePrefix="0" xfId="0">
      <alignment horizontal="right" vertical="center"/>
    </xf>
    <xf numFmtId="170" fontId="60" fillId="30" borderId="6" applyAlignment="1" pivotButton="0" quotePrefix="0" xfId="0">
      <alignment horizontal="right" vertical="center"/>
    </xf>
    <xf numFmtId="4" fontId="60" fillId="30" borderId="6" applyAlignment="1" pivotButton="0" quotePrefix="0" xfId="0">
      <alignment horizontal="right" vertical="center"/>
    </xf>
    <xf numFmtId="165" fontId="60" fillId="30" borderId="6" applyAlignment="1" pivotButton="0" quotePrefix="0" xfId="0">
      <alignment horizontal="right" vertical="center"/>
    </xf>
    <xf numFmtId="165" fontId="62" fillId="28" borderId="6" applyAlignment="1" pivotButton="0" quotePrefix="0" xfId="0">
      <alignment horizontal="right" vertical="center"/>
    </xf>
    <xf numFmtId="4" fontId="62" fillId="30" borderId="6" applyAlignment="1" pivotButton="0" quotePrefix="0" xfId="0">
      <alignment horizontal="right" vertical="center"/>
    </xf>
    <xf numFmtId="165" fontId="62" fillId="21" borderId="6" applyAlignment="1" pivotButton="0" quotePrefix="0" xfId="0">
      <alignment horizontal="right" vertical="center"/>
    </xf>
    <xf numFmtId="0" fontId="63" fillId="0" borderId="6" applyAlignment="1" pivotButton="0" quotePrefix="0" xfId="0">
      <alignment horizontal="center" vertical="center" wrapText="1"/>
    </xf>
    <xf numFmtId="0" fontId="8" fillId="32" borderId="6" applyAlignment="1" pivotButton="0" quotePrefix="0" xfId="0">
      <alignment horizontal="left" vertical="center" wrapText="1" indent="1"/>
    </xf>
    <xf numFmtId="10" fontId="57" fillId="14" borderId="6" applyAlignment="1" pivotButton="0" quotePrefix="0" xfId="0">
      <alignment horizontal="right" vertical="center"/>
    </xf>
    <xf numFmtId="0" fontId="8" fillId="33" borderId="6" applyAlignment="1" pivotButton="0" quotePrefix="0" xfId="0">
      <alignment horizontal="left" vertical="center" wrapText="1" indent="1"/>
    </xf>
    <xf numFmtId="4" fontId="56" fillId="30" borderId="6" applyAlignment="1" pivotButton="0" quotePrefix="0" xfId="0">
      <alignment horizontal="right" vertical="center"/>
    </xf>
    <xf numFmtId="10" fontId="56" fillId="30" borderId="6" applyAlignment="1" pivotButton="0" quotePrefix="0" xfId="0">
      <alignment horizontal="right" vertical="center"/>
    </xf>
    <xf numFmtId="171" fontId="56" fillId="30" borderId="6" applyAlignment="1" pivotButton="0" quotePrefix="0" xfId="0">
      <alignment horizontal="right" vertical="center"/>
    </xf>
    <xf numFmtId="0" fontId="60" fillId="28" borderId="6" applyAlignment="1" pivotButton="0" quotePrefix="0" xfId="0">
      <alignment horizontal="left" vertical="center" indent="1"/>
    </xf>
    <xf numFmtId="0" fontId="60" fillId="21" borderId="6" applyAlignment="1" pivotButton="0" quotePrefix="0" xfId="0">
      <alignment horizontal="left" vertical="center" indent="1"/>
    </xf>
    <xf numFmtId="0" fontId="64" fillId="7" borderId="8" applyAlignment="1" pivotButton="0" quotePrefix="0" xfId="0">
      <alignment horizontal="center" vertical="center" wrapText="1"/>
    </xf>
    <xf numFmtId="3" fontId="65" fillId="34" borderId="6" applyAlignment="1" pivotButton="0" quotePrefix="0" xfId="0">
      <alignment horizontal="center" vertical="center" wrapText="1"/>
    </xf>
    <xf numFmtId="172" fontId="65" fillId="34" borderId="6" applyAlignment="1" pivotButton="0" quotePrefix="0" xfId="0">
      <alignment horizontal="center" vertical="center" wrapText="1"/>
    </xf>
    <xf numFmtId="173" fontId="65" fillId="34" borderId="6" applyAlignment="1" pivotButton="0" quotePrefix="0" xfId="0">
      <alignment horizontal="center" vertical="center" wrapText="1"/>
    </xf>
    <xf numFmtId="0" fontId="8" fillId="35" borderId="6" applyAlignment="1" pivotButton="0" quotePrefix="0" xfId="0">
      <alignment horizontal="center" vertical="center" wrapText="1"/>
    </xf>
    <xf numFmtId="0" fontId="62" fillId="28" borderId="6" applyAlignment="1" pivotButton="0" quotePrefix="0" xfId="0">
      <alignment horizontal="center" vertical="center" wrapText="1"/>
    </xf>
    <xf numFmtId="0" fontId="62" fillId="28" borderId="6" applyAlignment="1" pivotButton="0" quotePrefix="0" xfId="0">
      <alignment horizontal="right" vertical="center"/>
    </xf>
    <xf numFmtId="0" fontId="66" fillId="30" borderId="6" applyAlignment="1" pivotButton="0" quotePrefix="0" xfId="0">
      <alignment horizontal="center" vertical="center" wrapText="1"/>
    </xf>
    <xf numFmtId="0" fontId="62" fillId="21" borderId="6" applyAlignment="1" pivotButton="0" quotePrefix="0" xfId="0">
      <alignment horizontal="center" vertical="center" wrapText="1"/>
    </xf>
    <xf numFmtId="0" fontId="62" fillId="21" borderId="6" applyAlignment="1" pivotButton="0" quotePrefix="0" xfId="0">
      <alignment horizontal="right" vertical="center"/>
    </xf>
    <xf numFmtId="0" fontId="67" fillId="22" borderId="6" applyAlignment="1" pivotButton="0" quotePrefix="0" xfId="0">
      <alignment horizontal="center" vertical="center" wrapText="1"/>
    </xf>
    <xf numFmtId="0" fontId="68" fillId="28" borderId="6" applyAlignment="1" pivotButton="0" quotePrefix="0" xfId="0">
      <alignment horizontal="center" vertical="center" wrapText="1"/>
    </xf>
    <xf numFmtId="0" fontId="0" fillId="28" borderId="6" applyAlignment="1" pivotButton="0" quotePrefix="0" xfId="0">
      <alignment horizontal="general" vertical="bottom"/>
    </xf>
    <xf numFmtId="0" fontId="68" fillId="21" borderId="6" applyAlignment="1" pivotButton="0" quotePrefix="0" xfId="0">
      <alignment horizontal="center" vertical="center" wrapText="1"/>
    </xf>
    <xf numFmtId="0" fontId="0" fillId="21" borderId="6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13" pivotButton="0" quotePrefix="0" xfId="0"/>
    <xf numFmtId="0" fontId="0" fillId="3" borderId="0" applyAlignment="1" pivotButton="0" quotePrefix="0" xfId="0">
      <alignment horizontal="general" vertical="bottom"/>
    </xf>
    <xf numFmtId="0" fontId="4" fillId="4" borderId="2" applyAlignment="1" pivotButton="0" quotePrefix="0" xfId="0">
      <alignment horizontal="center" vertical="center" wrapText="1"/>
    </xf>
    <xf numFmtId="0" fontId="0" fillId="0" borderId="16" pivotButton="0" quotePrefix="0" xfId="0"/>
    <xf numFmtId="0" fontId="0" fillId="0" borderId="17" pivotButton="0" quotePrefix="0" xfId="0"/>
    <xf numFmtId="0" fontId="4" fillId="5" borderId="3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6" borderId="4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5" fillId="7" borderId="5" applyAlignment="1" pivotButton="0" quotePrefix="0" xfId="0">
      <alignment horizontal="center" vertical="center" wrapText="1"/>
    </xf>
    <xf numFmtId="0" fontId="6" fillId="2" borderId="6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9" pivotButton="0" quotePrefix="0" xfId="0"/>
    <xf numFmtId="0" fontId="6" fillId="4" borderId="6" applyAlignment="1" pivotButton="0" quotePrefix="0" xfId="0">
      <alignment horizontal="center" vertical="center" wrapText="1"/>
    </xf>
    <xf numFmtId="0" fontId="6" fillId="5" borderId="6" applyAlignment="1" pivotButton="0" quotePrefix="0" xfId="0">
      <alignment horizontal="center" vertical="center" wrapText="1"/>
    </xf>
    <xf numFmtId="0" fontId="6" fillId="6" borderId="6" applyAlignment="1" pivotButton="0" quotePrefix="0" xfId="0">
      <alignment horizontal="center" vertical="center" wrapText="1"/>
    </xf>
    <xf numFmtId="0" fontId="7" fillId="7" borderId="0" applyAlignment="1" pivotButton="0" quotePrefix="0" xfId="0">
      <alignment horizontal="center" vertical="center" wrapText="1"/>
    </xf>
    <xf numFmtId="0" fontId="8" fillId="8" borderId="6" applyAlignment="1" pivotButton="0" quotePrefix="0" xfId="0">
      <alignment horizontal="left" vertical="center" wrapText="1" indent="1"/>
    </xf>
    <xf numFmtId="0" fontId="8" fillId="8" borderId="1" applyAlignment="1" pivotButton="0" quotePrefix="0" xfId="0">
      <alignment horizontal="center" vertical="center" wrapText="1"/>
    </xf>
    <xf numFmtId="0" fontId="8" fillId="9" borderId="2" applyAlignment="1" pivotButton="0" quotePrefix="0" xfId="0">
      <alignment horizontal="center" vertical="center" wrapText="1"/>
    </xf>
    <xf numFmtId="0" fontId="8" fillId="10" borderId="3" applyAlignment="1" pivotButton="0" quotePrefix="0" xfId="0">
      <alignment horizontal="center" vertical="center" wrapText="1"/>
    </xf>
    <xf numFmtId="0" fontId="8" fillId="11" borderId="4" applyAlignment="1" pivotButton="0" quotePrefix="0" xfId="0">
      <alignment horizontal="center" vertical="center" wrapText="1"/>
    </xf>
    <xf numFmtId="0" fontId="9" fillId="12" borderId="7" applyAlignment="1" pivotButton="0" quotePrefix="0" xfId="0">
      <alignment horizontal="left" vertical="center" wrapText="1" indent="1"/>
    </xf>
    <xf numFmtId="0" fontId="8" fillId="2" borderId="6" applyAlignment="1" pivotButton="0" quotePrefix="0" xfId="0">
      <alignment horizontal="left" vertical="center" indent="1"/>
    </xf>
    <xf numFmtId="49" fontId="10" fillId="13" borderId="6" applyAlignment="1" pivotButton="0" quotePrefix="0" xfId="0">
      <alignment horizontal="right" vertical="center"/>
    </xf>
    <xf numFmtId="0" fontId="11" fillId="14" borderId="6" applyAlignment="1" pivotButton="0" quotePrefix="0" xfId="0">
      <alignment horizontal="left" vertical="center" indent="1"/>
    </xf>
    <xf numFmtId="0" fontId="8" fillId="4" borderId="6" applyAlignment="1" pivotButton="0" quotePrefix="0" xfId="0">
      <alignment horizontal="left" vertical="center" indent="1"/>
    </xf>
    <xf numFmtId="49" fontId="10" fillId="15" borderId="6" applyAlignment="1" pivotButton="0" quotePrefix="0" xfId="0">
      <alignment horizontal="right" vertical="center"/>
    </xf>
    <xf numFmtId="0" fontId="11" fillId="16" borderId="6" applyAlignment="1" pivotButton="0" quotePrefix="0" xfId="0">
      <alignment horizontal="left" vertical="center" indent="1"/>
    </xf>
    <xf numFmtId="0" fontId="8" fillId="5" borderId="6" applyAlignment="1" pivotButton="0" quotePrefix="0" xfId="0">
      <alignment horizontal="left" vertical="center" indent="1"/>
    </xf>
    <xf numFmtId="49" fontId="10" fillId="17" borderId="6" applyAlignment="1" pivotButton="0" quotePrefix="0" xfId="0">
      <alignment horizontal="right" vertical="center"/>
    </xf>
    <xf numFmtId="0" fontId="11" fillId="18" borderId="6" applyAlignment="1" pivotButton="0" quotePrefix="0" xfId="0">
      <alignment horizontal="left" vertical="center" indent="1"/>
    </xf>
    <xf numFmtId="0" fontId="8" fillId="6" borderId="6" applyAlignment="1" pivotButton="0" quotePrefix="0" xfId="0">
      <alignment horizontal="left" vertical="center" indent="1"/>
    </xf>
    <xf numFmtId="49" fontId="10" fillId="19" borderId="6" applyAlignment="1" pivotButton="0" quotePrefix="0" xfId="0">
      <alignment horizontal="right" vertical="center"/>
    </xf>
    <xf numFmtId="0" fontId="11" fillId="20" borderId="6" applyAlignment="1" pivotButton="0" quotePrefix="0" xfId="0">
      <alignment horizontal="left" vertical="center" indent="1"/>
    </xf>
    <xf numFmtId="4" fontId="10" fillId="13" borderId="6" applyAlignment="1" pivotButton="0" quotePrefix="0" xfId="0">
      <alignment horizontal="right" vertical="center"/>
    </xf>
    <xf numFmtId="4" fontId="10" fillId="15" borderId="6" applyAlignment="1" pivotButton="0" quotePrefix="0" xfId="0">
      <alignment horizontal="right" vertical="center"/>
    </xf>
    <xf numFmtId="4" fontId="10" fillId="17" borderId="6" applyAlignment="1" pivotButton="0" quotePrefix="0" xfId="0">
      <alignment horizontal="right" vertical="center"/>
    </xf>
    <xf numFmtId="4" fontId="10" fillId="19" borderId="6" applyAlignment="1" pivotButton="0" quotePrefix="0" xfId="0">
      <alignment horizontal="right" vertical="center"/>
    </xf>
    <xf numFmtId="164" fontId="10" fillId="13" borderId="6" applyAlignment="1" pivotButton="0" quotePrefix="0" xfId="0">
      <alignment horizontal="right" vertical="center"/>
    </xf>
    <xf numFmtId="164" fontId="10" fillId="15" borderId="6" applyAlignment="1" pivotButton="0" quotePrefix="0" xfId="0">
      <alignment horizontal="right" vertical="center"/>
    </xf>
    <xf numFmtId="164" fontId="10" fillId="17" borderId="6" applyAlignment="1" pivotButton="0" quotePrefix="0" xfId="0">
      <alignment horizontal="right" vertical="center"/>
    </xf>
    <xf numFmtId="164" fontId="10" fillId="19" borderId="6" applyAlignment="1" pivotButton="0" quotePrefix="0" xfId="0">
      <alignment horizontal="right" vertical="center"/>
    </xf>
    <xf numFmtId="0" fontId="0" fillId="21" borderId="0" applyAlignment="1" pivotButton="0" quotePrefix="0" xfId="0">
      <alignment horizontal="general" vertical="bottom"/>
    </xf>
    <xf numFmtId="0" fontId="8" fillId="4" borderId="6" applyAlignment="1" pivotButton="0" quotePrefix="0" xfId="0">
      <alignment horizontal="left" vertical="center" wrapText="1" indent="1"/>
    </xf>
    <xf numFmtId="0" fontId="12" fillId="2" borderId="6" applyAlignment="1" pivotButton="0" quotePrefix="0" xfId="0">
      <alignment horizontal="left" vertical="center" indent="1"/>
    </xf>
    <xf numFmtId="0" fontId="13" fillId="14" borderId="6" applyAlignment="1" pivotButton="0" quotePrefix="0" xfId="0">
      <alignment horizontal="left" vertical="center" indent="1"/>
    </xf>
    <xf numFmtId="0" fontId="12" fillId="4" borderId="6" applyAlignment="1" pivotButton="0" quotePrefix="0" xfId="0">
      <alignment horizontal="left" vertical="center" indent="1"/>
    </xf>
    <xf numFmtId="165" fontId="10" fillId="15" borderId="6" applyAlignment="1" pivotButton="0" quotePrefix="0" xfId="0">
      <alignment horizontal="right" vertical="center"/>
    </xf>
    <xf numFmtId="0" fontId="13" fillId="16" borderId="6" applyAlignment="1" pivotButton="0" quotePrefix="0" xfId="0">
      <alignment horizontal="left" vertical="center" indent="1"/>
    </xf>
    <xf numFmtId="0" fontId="12" fillId="5" borderId="6" applyAlignment="1" pivotButton="0" quotePrefix="0" xfId="0">
      <alignment horizontal="left" vertical="center" indent="1"/>
    </xf>
    <xf numFmtId="166" fontId="10" fillId="17" borderId="6" applyAlignment="1" pivotButton="0" quotePrefix="0" xfId="0">
      <alignment horizontal="right" vertical="center"/>
    </xf>
    <xf numFmtId="0" fontId="13" fillId="18" borderId="6" applyAlignment="1" pivotButton="0" quotePrefix="0" xfId="0">
      <alignment horizontal="left" vertical="center" indent="1"/>
    </xf>
    <xf numFmtId="0" fontId="12" fillId="6" borderId="6" applyAlignment="1" pivotButton="0" quotePrefix="0" xfId="0">
      <alignment horizontal="left" vertical="center" indent="1"/>
    </xf>
    <xf numFmtId="165" fontId="10" fillId="19" borderId="6" applyAlignment="1" pivotButton="0" quotePrefix="0" xfId="0">
      <alignment horizontal="right" vertical="center"/>
    </xf>
    <xf numFmtId="0" fontId="13" fillId="20" borderId="6" applyAlignment="1" pivotButton="0" quotePrefix="0" xfId="0">
      <alignment horizontal="left" vertical="center" indent="1"/>
    </xf>
    <xf numFmtId="3" fontId="14" fillId="13" borderId="6" applyAlignment="1" pivotButton="0" quotePrefix="0" xfId="0">
      <alignment horizontal="right" vertical="center"/>
    </xf>
    <xf numFmtId="3" fontId="14" fillId="15" borderId="6" applyAlignment="1" pivotButton="0" quotePrefix="0" xfId="0">
      <alignment horizontal="right" vertical="center"/>
    </xf>
    <xf numFmtId="3" fontId="14" fillId="17" borderId="6" applyAlignment="1" pivotButton="0" quotePrefix="0" xfId="0">
      <alignment horizontal="right" vertical="center"/>
    </xf>
    <xf numFmtId="3" fontId="14" fillId="19" borderId="6" applyAlignment="1" pivotButton="0" quotePrefix="0" xfId="0">
      <alignment horizontal="right" vertical="center"/>
    </xf>
    <xf numFmtId="0" fontId="15" fillId="14" borderId="6" applyAlignment="1" pivotButton="0" quotePrefix="0" xfId="0">
      <alignment horizontal="left" vertical="center" indent="1"/>
    </xf>
    <xf numFmtId="166" fontId="16" fillId="13" borderId="6" applyAlignment="1" pivotButton="0" quotePrefix="0" xfId="0">
      <alignment horizontal="right" vertical="center"/>
    </xf>
    <xf numFmtId="0" fontId="17" fillId="14" borderId="6" applyAlignment="1" pivotButton="0" quotePrefix="0" xfId="0">
      <alignment horizontal="left" vertical="center" indent="1"/>
    </xf>
    <xf numFmtId="0" fontId="15" fillId="16" borderId="6" applyAlignment="1" pivotButton="0" quotePrefix="0" xfId="0">
      <alignment horizontal="left" vertical="center" indent="1"/>
    </xf>
    <xf numFmtId="166" fontId="16" fillId="15" borderId="6" applyAlignment="1" pivotButton="0" quotePrefix="0" xfId="0">
      <alignment horizontal="right" vertical="center"/>
    </xf>
    <xf numFmtId="0" fontId="17" fillId="16" borderId="6" applyAlignment="1" pivotButton="0" quotePrefix="0" xfId="0">
      <alignment horizontal="left" vertical="center" indent="1"/>
    </xf>
    <xf numFmtId="0" fontId="15" fillId="18" borderId="6" applyAlignment="1" pivotButton="0" quotePrefix="0" xfId="0">
      <alignment horizontal="left" vertical="center" indent="1"/>
    </xf>
    <xf numFmtId="167" fontId="16" fillId="17" borderId="6" applyAlignment="1" pivotButton="0" quotePrefix="0" xfId="0">
      <alignment horizontal="right" vertical="center"/>
    </xf>
    <xf numFmtId="0" fontId="17" fillId="18" borderId="6" applyAlignment="1" pivotButton="0" quotePrefix="0" xfId="0">
      <alignment horizontal="left" vertical="center" indent="1"/>
    </xf>
    <xf numFmtId="0" fontId="15" fillId="20" borderId="6" applyAlignment="1" pivotButton="0" quotePrefix="0" xfId="0">
      <alignment horizontal="left" vertical="center" indent="1"/>
    </xf>
    <xf numFmtId="167" fontId="16" fillId="19" borderId="6" applyAlignment="1" pivotButton="0" quotePrefix="0" xfId="0">
      <alignment horizontal="right" vertical="center"/>
    </xf>
    <xf numFmtId="0" fontId="17" fillId="20" borderId="6" applyAlignment="1" pivotButton="0" quotePrefix="0" xfId="0">
      <alignment horizontal="left" vertical="center" indent="1"/>
    </xf>
    <xf numFmtId="165" fontId="14" fillId="13" borderId="6" applyAlignment="1" pivotButton="0" quotePrefix="0" xfId="0">
      <alignment horizontal="right" vertical="center"/>
    </xf>
    <xf numFmtId="165" fontId="14" fillId="15" borderId="6" applyAlignment="1" pivotButton="0" quotePrefix="0" xfId="0">
      <alignment horizontal="right" vertical="center"/>
    </xf>
    <xf numFmtId="165" fontId="14" fillId="17" borderId="6" applyAlignment="1" pivotButton="0" quotePrefix="0" xfId="0">
      <alignment horizontal="right" vertical="center"/>
    </xf>
    <xf numFmtId="165" fontId="14" fillId="19" borderId="6" applyAlignment="1" pivotButton="0" quotePrefix="0" xfId="0">
      <alignment horizontal="right" vertical="center"/>
    </xf>
    <xf numFmtId="0" fontId="8" fillId="5" borderId="6" applyAlignment="1" pivotButton="0" quotePrefix="0" xfId="0">
      <alignment horizontal="left" vertical="center" wrapText="1" indent="1"/>
    </xf>
    <xf numFmtId="0" fontId="18" fillId="14" borderId="6" applyAlignment="1" pivotButton="0" quotePrefix="0" xfId="0">
      <alignment horizontal="left" vertical="center" indent="1"/>
    </xf>
    <xf numFmtId="164" fontId="19" fillId="13" borderId="6" applyAlignment="1" pivotButton="0" quotePrefix="0" xfId="0">
      <alignment horizontal="right" vertical="center"/>
    </xf>
    <xf numFmtId="0" fontId="20" fillId="14" borderId="6" applyAlignment="1" pivotButton="0" quotePrefix="0" xfId="0">
      <alignment horizontal="left" vertical="center" indent="1"/>
    </xf>
    <xf numFmtId="0" fontId="18" fillId="16" borderId="6" applyAlignment="1" pivotButton="0" quotePrefix="0" xfId="0">
      <alignment horizontal="left" vertical="center" indent="1"/>
    </xf>
    <xf numFmtId="164" fontId="19" fillId="15" borderId="6" applyAlignment="1" pivotButton="0" quotePrefix="0" xfId="0">
      <alignment horizontal="right" vertical="center"/>
    </xf>
    <xf numFmtId="0" fontId="20" fillId="16" borderId="6" applyAlignment="1" pivotButton="0" quotePrefix="0" xfId="0">
      <alignment horizontal="left" vertical="center" indent="1"/>
    </xf>
    <xf numFmtId="0" fontId="18" fillId="18" borderId="6" applyAlignment="1" pivotButton="0" quotePrefix="0" xfId="0">
      <alignment horizontal="left" vertical="center" indent="1"/>
    </xf>
    <xf numFmtId="164" fontId="19" fillId="17" borderId="6" applyAlignment="1" pivotButton="0" quotePrefix="0" xfId="0">
      <alignment horizontal="right" vertical="center"/>
    </xf>
    <xf numFmtId="0" fontId="20" fillId="18" borderId="6" applyAlignment="1" pivotButton="0" quotePrefix="0" xfId="0">
      <alignment horizontal="left" vertical="center" indent="1"/>
    </xf>
    <xf numFmtId="0" fontId="18" fillId="20" borderId="6" applyAlignment="1" pivotButton="0" quotePrefix="0" xfId="0">
      <alignment horizontal="left" vertical="center" indent="1"/>
    </xf>
    <xf numFmtId="164" fontId="19" fillId="19" borderId="6" applyAlignment="1" pivotButton="0" quotePrefix="0" xfId="0">
      <alignment horizontal="right" vertical="center"/>
    </xf>
    <xf numFmtId="0" fontId="20" fillId="20" borderId="6" applyAlignment="1" pivotButton="0" quotePrefix="0" xfId="0">
      <alignment horizontal="left" vertical="center" indent="1"/>
    </xf>
    <xf numFmtId="3" fontId="19" fillId="13" borderId="6" applyAlignment="1" pivotButton="0" quotePrefix="0" xfId="0">
      <alignment horizontal="right" vertical="center"/>
    </xf>
    <xf numFmtId="3" fontId="19" fillId="15" borderId="6" applyAlignment="1" pivotButton="0" quotePrefix="0" xfId="0">
      <alignment horizontal="right" vertical="center"/>
    </xf>
    <xf numFmtId="168" fontId="19" fillId="17" borderId="6" applyAlignment="1" pivotButton="0" quotePrefix="0" xfId="0">
      <alignment horizontal="right" vertical="center"/>
    </xf>
    <xf numFmtId="168" fontId="19" fillId="19" borderId="6" applyAlignment="1" pivotButton="0" quotePrefix="0" xfId="0">
      <alignment horizontal="right" vertical="center"/>
    </xf>
    <xf numFmtId="166" fontId="21" fillId="22" borderId="6" applyAlignment="1" pivotButton="0" quotePrefix="0" xfId="0">
      <alignment horizontal="right" vertical="center"/>
    </xf>
    <xf numFmtId="0" fontId="22" fillId="14" borderId="6" applyAlignment="1" pivotButton="0" quotePrefix="0" xfId="0">
      <alignment horizontal="left" vertical="center" indent="1"/>
    </xf>
    <xf numFmtId="0" fontId="23" fillId="13" borderId="6" applyAlignment="1" pivotButton="0" quotePrefix="0" xfId="0">
      <alignment horizontal="left" vertical="center" indent="2"/>
    </xf>
    <xf numFmtId="0" fontId="22" fillId="16" borderId="6" applyAlignment="1" pivotButton="0" quotePrefix="0" xfId="0">
      <alignment horizontal="left" vertical="center" indent="1"/>
    </xf>
    <xf numFmtId="0" fontId="23" fillId="15" borderId="6" applyAlignment="1" pivotButton="0" quotePrefix="0" xfId="0">
      <alignment horizontal="left" vertical="center" indent="2"/>
    </xf>
    <xf numFmtId="0" fontId="22" fillId="18" borderId="6" applyAlignment="1" pivotButton="0" quotePrefix="0" xfId="0">
      <alignment horizontal="left" vertical="center" indent="1"/>
    </xf>
    <xf numFmtId="0" fontId="23" fillId="17" borderId="6" applyAlignment="1" pivotButton="0" quotePrefix="0" xfId="0">
      <alignment horizontal="left" vertical="center" indent="2"/>
    </xf>
    <xf numFmtId="0" fontId="22" fillId="20" borderId="6" applyAlignment="1" pivotButton="0" quotePrefix="0" xfId="0">
      <alignment horizontal="left" vertical="center" indent="1"/>
    </xf>
    <xf numFmtId="0" fontId="23" fillId="19" borderId="6" applyAlignment="1" pivotButton="0" quotePrefix="0" xfId="0">
      <alignment horizontal="left" vertical="center" indent="2"/>
    </xf>
    <xf numFmtId="0" fontId="8" fillId="2" borderId="1" applyAlignment="1" pivotButton="0" quotePrefix="0" xfId="0">
      <alignment horizontal="center" vertical="center" wrapText="1"/>
    </xf>
    <xf numFmtId="0" fontId="8" fillId="4" borderId="2" applyAlignment="1" pivotButton="0" quotePrefix="0" xfId="0">
      <alignment horizontal="center" vertical="center" wrapText="1"/>
    </xf>
    <xf numFmtId="0" fontId="8" fillId="5" borderId="3" applyAlignment="1" pivotButton="0" quotePrefix="0" xfId="0">
      <alignment horizontal="center" vertical="center" wrapText="1"/>
    </xf>
    <xf numFmtId="0" fontId="8" fillId="6" borderId="4" applyAlignment="1" pivotButton="0" quotePrefix="0" xfId="0">
      <alignment horizontal="center" vertical="center" wrapText="1"/>
    </xf>
    <xf numFmtId="0" fontId="24" fillId="23" borderId="6" applyAlignment="1" pivotButton="0" quotePrefix="0" xfId="0">
      <alignment horizontal="center" vertical="center" wrapText="1"/>
    </xf>
    <xf numFmtId="0" fontId="8" fillId="6" borderId="6" applyAlignment="1" pivotButton="0" quotePrefix="0" xfId="0">
      <alignment horizontal="left" vertical="center" wrapText="1" indent="1"/>
    </xf>
    <xf numFmtId="0" fontId="25" fillId="24" borderId="6" applyAlignment="1" pivotButton="0" quotePrefix="0" xfId="0">
      <alignment horizontal="center" vertical="center" wrapText="1"/>
    </xf>
    <xf numFmtId="166" fontId="26" fillId="24" borderId="6" applyAlignment="1" pivotButton="0" quotePrefix="0" xfId="0">
      <alignment horizontal="right" vertical="center"/>
    </xf>
    <xf numFmtId="0" fontId="27" fillId="24" borderId="6" applyAlignment="1" pivotButton="0" quotePrefix="0" xfId="0">
      <alignment horizontal="left" vertical="center" indent="1"/>
    </xf>
    <xf numFmtId="0" fontId="8" fillId="25" borderId="6" applyAlignment="1" pivotButton="0" quotePrefix="0" xfId="0">
      <alignment horizontal="left" vertical="center" wrapText="1" indent="1"/>
    </xf>
    <xf numFmtId="0" fontId="28" fillId="26" borderId="8" applyAlignment="1" pivotButton="0" quotePrefix="0" xfId="0">
      <alignment horizontal="center" vertical="center" wrapText="1"/>
    </xf>
    <xf numFmtId="0" fontId="0" fillId="0" borderId="32" pivotButton="0" quotePrefix="0" xfId="0"/>
    <xf numFmtId="0" fontId="0" fillId="0" borderId="33" pivotButton="0" quotePrefix="0" xfId="0"/>
    <xf numFmtId="0" fontId="29" fillId="13" borderId="6" applyAlignment="1" pivotButton="0" quotePrefix="0" xfId="0">
      <alignment horizontal="center" vertical="center" wrapText="1"/>
    </xf>
    <xf numFmtId="166" fontId="30" fillId="13" borderId="6" applyAlignment="1" pivotButton="0" quotePrefix="0" xfId="0">
      <alignment horizontal="right" vertical="center"/>
    </xf>
    <xf numFmtId="0" fontId="31" fillId="13" borderId="6" applyAlignment="1" pivotButton="0" quotePrefix="0" xfId="0">
      <alignment horizontal="left" vertical="center" indent="1"/>
    </xf>
    <xf numFmtId="0" fontId="32" fillId="15" borderId="6" applyAlignment="1" pivotButton="0" quotePrefix="0" xfId="0">
      <alignment horizontal="center" vertical="center" wrapText="1"/>
    </xf>
    <xf numFmtId="166" fontId="33" fillId="15" borderId="6" applyAlignment="1" pivotButton="0" quotePrefix="0" xfId="0">
      <alignment horizontal="right" vertical="center"/>
    </xf>
    <xf numFmtId="0" fontId="34" fillId="15" borderId="6" applyAlignment="1" pivotButton="0" quotePrefix="0" xfId="0">
      <alignment horizontal="left" vertical="center" indent="1"/>
    </xf>
    <xf numFmtId="0" fontId="35" fillId="17" borderId="6" applyAlignment="1" pivotButton="0" quotePrefix="0" xfId="0">
      <alignment horizontal="center" vertical="center" wrapText="1"/>
    </xf>
    <xf numFmtId="166" fontId="36" fillId="17" borderId="6" applyAlignment="1" pivotButton="0" quotePrefix="0" xfId="0">
      <alignment horizontal="right" vertical="center"/>
    </xf>
    <xf numFmtId="0" fontId="37" fillId="17" borderId="6" applyAlignment="1" pivotButton="0" quotePrefix="0" xfId="0">
      <alignment horizontal="left" vertical="center" indent="1"/>
    </xf>
    <xf numFmtId="0" fontId="38" fillId="19" borderId="6" applyAlignment="1" pivotButton="0" quotePrefix="0" xfId="0">
      <alignment horizontal="center" vertical="center" wrapText="1"/>
    </xf>
    <xf numFmtId="166" fontId="39" fillId="19" borderId="6" applyAlignment="1" pivotButton="0" quotePrefix="0" xfId="0">
      <alignment horizontal="right" vertical="center"/>
    </xf>
    <xf numFmtId="0" fontId="40" fillId="19" borderId="6" applyAlignment="1" pivotButton="0" quotePrefix="0" xfId="0">
      <alignment horizontal="left" vertical="center" indent="1"/>
    </xf>
    <xf numFmtId="166" fontId="19" fillId="13" borderId="6" applyAlignment="1" pivotButton="0" quotePrefix="0" xfId="0">
      <alignment horizontal="right" vertical="center"/>
    </xf>
    <xf numFmtId="166" fontId="19" fillId="15" borderId="6" applyAlignment="1" pivotButton="0" quotePrefix="0" xfId="0">
      <alignment horizontal="right" vertical="center"/>
    </xf>
    <xf numFmtId="166" fontId="19" fillId="17" borderId="6" applyAlignment="1" pivotButton="0" quotePrefix="0" xfId="0">
      <alignment horizontal="right" vertical="center"/>
    </xf>
    <xf numFmtId="166" fontId="19" fillId="19" borderId="6" applyAlignment="1" pivotButton="0" quotePrefix="0" xfId="0">
      <alignment horizontal="right" vertical="center"/>
    </xf>
    <xf numFmtId="166" fontId="21" fillId="24" borderId="6" applyAlignment="1" pivotButton="0" quotePrefix="0" xfId="0">
      <alignment horizontal="right" vertical="center"/>
    </xf>
    <xf numFmtId="10" fontId="10" fillId="13" borderId="6" applyAlignment="1" pivotButton="0" quotePrefix="0" xfId="0">
      <alignment horizontal="right" vertical="center"/>
    </xf>
    <xf numFmtId="10" fontId="10" fillId="15" borderId="6" applyAlignment="1" pivotButton="0" quotePrefix="0" xfId="0">
      <alignment horizontal="right" vertical="center"/>
    </xf>
    <xf numFmtId="10" fontId="10" fillId="17" borderId="6" applyAlignment="1" pivotButton="0" quotePrefix="0" xfId="0">
      <alignment horizontal="right" vertical="center"/>
    </xf>
    <xf numFmtId="10" fontId="10" fillId="19" borderId="6" applyAlignment="1" pivotButton="0" quotePrefix="0" xfId="0">
      <alignment horizontal="right" vertical="center"/>
    </xf>
    <xf numFmtId="164" fontId="21" fillId="22" borderId="6" applyAlignment="1" pivotButton="0" quotePrefix="0" xfId="0">
      <alignment horizontal="right" vertical="center"/>
    </xf>
    <xf numFmtId="10" fontId="21" fillId="27" borderId="6" applyAlignment="1" pivotButton="0" quotePrefix="0" xfId="0">
      <alignment horizontal="right" vertical="center"/>
    </xf>
    <xf numFmtId="0" fontId="41" fillId="24" borderId="9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37" pivotButton="0" quotePrefix="0" xfId="0"/>
    <xf numFmtId="0" fontId="42" fillId="0" borderId="0" applyAlignment="1" pivotButton="0" quotePrefix="0" xfId="0">
      <alignment horizontal="center" vertical="center" wrapText="1"/>
    </xf>
    <xf numFmtId="0" fontId="0" fillId="7" borderId="0" applyAlignment="1" pivotButton="0" quotePrefix="0" xfId="0">
      <alignment horizontal="general" vertical="bottom"/>
    </xf>
    <xf numFmtId="0" fontId="43" fillId="7" borderId="0" applyAlignment="1" pivotButton="0" quotePrefix="0" xfId="0">
      <alignment horizontal="center" vertical="center" wrapText="1"/>
    </xf>
    <xf numFmtId="0" fontId="44" fillId="7" borderId="0" applyAlignment="1" pivotButton="0" quotePrefix="0" xfId="0">
      <alignment horizontal="center" vertical="center" wrapText="1"/>
    </xf>
    <xf numFmtId="0" fontId="45" fillId="7" borderId="0" applyAlignment="1" pivotButton="0" quotePrefix="0" xfId="0">
      <alignment horizontal="center" vertical="center" wrapText="1"/>
    </xf>
    <xf numFmtId="0" fontId="46" fillId="7" borderId="0" applyAlignment="1" pivotButton="0" quotePrefix="0" xfId="0">
      <alignment horizontal="center" vertical="center" wrapText="1"/>
    </xf>
    <xf numFmtId="0" fontId="47" fillId="7" borderId="0" applyAlignment="1" pivotButton="0" quotePrefix="0" xfId="0">
      <alignment horizontal="center" vertical="center" wrapText="1"/>
    </xf>
    <xf numFmtId="0" fontId="48" fillId="7" borderId="0" applyAlignment="1" pivotButton="0" quotePrefix="0" xfId="0">
      <alignment horizontal="center" vertical="center" wrapText="1"/>
    </xf>
    <xf numFmtId="0" fontId="5" fillId="7" borderId="0" applyAlignment="1" pivotButton="0" quotePrefix="0" xfId="0">
      <alignment horizontal="left" vertical="center" indent="1"/>
    </xf>
    <xf numFmtId="0" fontId="49" fillId="7" borderId="0" applyAlignment="1" pivotButton="0" quotePrefix="0" xfId="0">
      <alignment horizontal="left" vertical="center" indent="1"/>
    </xf>
    <xf numFmtId="0" fontId="50" fillId="7" borderId="0" applyAlignment="1" pivotButton="0" quotePrefix="0" xfId="0">
      <alignment horizontal="center" vertical="center" wrapText="1"/>
    </xf>
    <xf numFmtId="0" fontId="51" fillId="7" borderId="0" applyAlignment="1" pivotButton="0" quotePrefix="0" xfId="0">
      <alignment horizontal="center" vertical="center" wrapText="1"/>
    </xf>
    <xf numFmtId="0" fontId="52" fillId="26" borderId="8" applyAlignment="1" pivotButton="0" quotePrefix="0" xfId="0">
      <alignment horizontal="center" vertical="center" wrapText="1"/>
    </xf>
    <xf numFmtId="0" fontId="53" fillId="28" borderId="6" applyAlignment="1" pivotButton="0" quotePrefix="0" xfId="0">
      <alignment horizontal="center" vertical="center" wrapText="1"/>
    </xf>
    <xf numFmtId="0" fontId="53" fillId="28" borderId="6" applyAlignment="1" pivotButton="0" quotePrefix="0" xfId="0">
      <alignment horizontal="left" vertical="center" indent="1"/>
    </xf>
    <xf numFmtId="0" fontId="53" fillId="21" borderId="6" applyAlignment="1" pivotButton="0" quotePrefix="0" xfId="0">
      <alignment horizontal="center" vertical="center" wrapText="1"/>
    </xf>
    <xf numFmtId="0" fontId="53" fillId="21" borderId="6" applyAlignment="1" pivotButton="0" quotePrefix="0" xfId="0">
      <alignment horizontal="left" vertical="center" indent="1"/>
    </xf>
    <xf numFmtId="0" fontId="54" fillId="0" borderId="0" applyAlignment="1" pivotButton="0" quotePrefix="0" xfId="0">
      <alignment horizontal="center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AFAFA"/>
      <rgbColor rgb="FFF0F4FF"/>
      <rgbColor rgb="FF0000FF"/>
      <rgbColor rgb="FFE8F5E9"/>
      <rgbColor rgb="FFF5EEF8"/>
      <rgbColor rgb="FFEBF5FB"/>
      <rgbColor rgb="FF78281F"/>
      <rgbColor rgb="FF1B5E20"/>
      <rgbColor rgb="FF0C0C18"/>
      <rgbColor rgb="FF7D6608"/>
      <rgbColor rgb="FF444444"/>
      <rgbColor rgb="FF0E6655"/>
      <rgbColor rgb="FFBBBBBB"/>
      <rgbColor rgb="FF888888"/>
      <rgbColor rgb="FFAAAACC"/>
      <rgbColor rgb="FFB03A2E"/>
      <rgbColor rgb="FFFFF8E1"/>
      <rgbColor rgb="FFE8F8F5"/>
      <rgbColor rgb="FF4A235A"/>
      <rgbColor rgb="FF935116"/>
      <rgbColor rgb="FF1A5276"/>
      <rgbColor rgb="FFCCCCEE"/>
      <rgbColor rgb="FF06060D"/>
      <rgbColor rgb="FFF8F9FA"/>
      <rgbColor rgb="FFFDEDEC"/>
      <rgbColor rgb="FFEEEEF4"/>
      <rgbColor rgb="FF2C3E50"/>
      <rgbColor rgb="FF784212"/>
      <rgbColor rgb="FF0B5345"/>
      <rgbColor rgb="FF0000CC"/>
      <rgbColor rgb="FFEDE7F6"/>
      <rgbColor rgb="FFE8F8F0"/>
      <rgbColor rgb="FFD5F5E3"/>
      <rgbColor rgb="FFFDEBD0"/>
      <rgbColor rgb="FFAACCEE"/>
      <rgbColor rgb="FFE0E0E0"/>
      <rgbColor rgb="FFAAAAAA"/>
      <rgbColor rgb="FFFAD7A0"/>
      <rgbColor rgb="FF555555"/>
      <rgbColor rgb="FFD6EAF8"/>
      <rgbColor rgb="FFDEE2E6"/>
      <rgbColor rgb="FFF0B429"/>
      <rgbColor rgb="FFC9A84C"/>
      <rgbColor rgb="FFE74F0A"/>
      <rgbColor rgb="FF666666"/>
      <rgbColor rgb="FF999999"/>
      <rgbColor rgb="FF154360"/>
      <rgbColor rgb="FF777777"/>
      <rgbColor rgb="FF1A3A4A"/>
      <rgbColor rgb="FF212529"/>
      <rgbColor rgb="FF922B21"/>
      <rgbColor rgb="FF6C3483"/>
      <rgbColor rgb="FF34495E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B2:S81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1" customWidth="1" style="206" min="1" max="1"/>
    <col width="20" customWidth="1" style="206" min="2" max="2"/>
    <col width="13" customWidth="1" style="206" min="3" max="3"/>
    <col width="14" customWidth="1" style="206" min="4" max="4"/>
    <col width="1.51" customWidth="1" style="206" min="5" max="5"/>
    <col width="20" customWidth="1" style="206" min="6" max="6"/>
    <col width="13" customWidth="1" style="206" min="7" max="7"/>
    <col width="14" customWidth="1" style="206" min="8" max="8"/>
    <col width="1.51" customWidth="1" style="206" min="9" max="9"/>
    <col width="20" customWidth="1" style="206" min="10" max="10"/>
    <col width="13" customWidth="1" style="206" min="11" max="11"/>
    <col width="14" customWidth="1" style="206" min="12" max="12"/>
    <col width="1.51" customWidth="1" style="206" min="13" max="13"/>
    <col width="20" customWidth="1" style="206" min="14" max="14"/>
    <col width="13" customWidth="1" style="206" min="15" max="15"/>
    <col width="14" customWidth="1" style="206" min="16" max="16"/>
    <col width="1" customWidth="1" style="206" min="17" max="17"/>
    <col width="2" customWidth="1" style="206" min="18" max="18"/>
    <col width="30" customWidth="1" style="206" min="19" max="19"/>
  </cols>
  <sheetData>
    <row r="1" ht="15" customHeight="1" s="207"/>
    <row r="2" ht="31.5" customHeight="1" s="207">
      <c r="B2" s="208" t="inlineStr">
        <is>
          <t>📊 BIST ARİTMETİK</t>
        </is>
      </c>
      <c r="C2" s="209" t="n"/>
      <c r="D2" s="210" t="n"/>
      <c r="E2" s="211" t="n"/>
      <c r="F2" s="212" t="inlineStr">
        <is>
          <t>📐 BIST GEOMETRİK</t>
        </is>
      </c>
      <c r="G2" s="213" t="n"/>
      <c r="H2" s="214" t="n"/>
      <c r="I2" s="211" t="n"/>
      <c r="J2" s="215" t="inlineStr">
        <is>
          <t>📊 KRİPTO ARİTMETİK</t>
        </is>
      </c>
      <c r="K2" s="216" t="n"/>
      <c r="L2" s="217" t="n"/>
      <c r="M2" s="211" t="n"/>
      <c r="N2" s="218" t="inlineStr">
        <is>
          <t>📐 KRİPTO GEOMETRİK</t>
        </is>
      </c>
      <c r="O2" s="219" t="n"/>
      <c r="P2" s="220" t="n"/>
      <c r="S2" s="221" t="inlineStr">
        <is>
          <t>📖 AKILLI ANALİZ KILAVUZU</t>
        </is>
      </c>
    </row>
    <row r="3" ht="15.75" customHeight="1" s="207">
      <c r="B3" s="222" t="inlineStr">
        <is>
          <t>Sabit TL adım  ·  BISTGridBot</t>
        </is>
      </c>
      <c r="C3" s="223" t="n"/>
      <c r="D3" s="224" t="n"/>
      <c r="E3" s="211" t="n"/>
      <c r="F3" s="225" t="inlineStr">
        <is>
          <t>Yüzde adım  ·  BISTGridBot</t>
        </is>
      </c>
      <c r="G3" s="223" t="n"/>
      <c r="H3" s="224" t="n"/>
      <c r="I3" s="211" t="n"/>
      <c r="J3" s="226" t="inlineStr">
        <is>
          <t>Sabit USDT adım  ·  Binance</t>
        </is>
      </c>
      <c r="K3" s="223" t="n"/>
      <c r="L3" s="224" t="n"/>
      <c r="M3" s="211" t="n"/>
      <c r="N3" s="227" t="inlineStr">
        <is>
          <t>Yüzde adım  ·  Binance</t>
        </is>
      </c>
      <c r="O3" s="223" t="n"/>
      <c r="P3" s="224" t="n"/>
      <c r="S3" s="228" t="inlineStr">
        <is>
          <t>NASIL KULLANILIR?</t>
        </is>
      </c>
    </row>
    <row r="4" ht="15" customHeight="1" s="207">
      <c r="S4" s="229" t="inlineStr">
        <is>
          <t>📌 GİRİŞ — Buradan başla</t>
        </is>
      </c>
    </row>
    <row r="5" ht="21.75" customHeight="1" s="207">
      <c r="B5" s="230" t="inlineStr">
        <is>
          <t>GİRİŞ</t>
        </is>
      </c>
      <c r="C5" s="209" t="n"/>
      <c r="D5" s="210" t="n"/>
      <c r="E5" s="211" t="n"/>
      <c r="F5" s="231" t="inlineStr">
        <is>
          <t>GİRİŞ</t>
        </is>
      </c>
      <c r="G5" s="213" t="n"/>
      <c r="H5" s="214" t="n"/>
      <c r="I5" s="211" t="n"/>
      <c r="J5" s="232" t="inlineStr">
        <is>
          <t>GİRİŞ</t>
        </is>
      </c>
      <c r="K5" s="216" t="n"/>
      <c r="L5" s="217" t="n"/>
      <c r="M5" s="211" t="n"/>
      <c r="N5" s="233" t="inlineStr">
        <is>
          <t>GİRİŞ</t>
        </is>
      </c>
      <c r="O5" s="219" t="n"/>
      <c r="P5" s="220" t="n"/>
      <c r="S5" s="234" t="inlineStr">
        <is>
          <t>1. Sembol: Hisse adını yaz (THYAO, GARAN...)</t>
        </is>
      </c>
    </row>
    <row r="6" ht="27.75" customHeight="1" s="207">
      <c r="B6" s="235" t="inlineStr">
        <is>
          <t>📌 Sembol</t>
        </is>
      </c>
      <c r="C6" s="236" t="inlineStr">
        <is>
          <t>THYAO</t>
        </is>
      </c>
      <c r="D6" s="237" t="inlineStr">
        <is>
          <t>THYAO GARAN ASELS</t>
        </is>
      </c>
      <c r="E6" s="211" t="n"/>
      <c r="F6" s="238" t="inlineStr">
        <is>
          <t>📌 Sembol</t>
        </is>
      </c>
      <c r="G6" s="239" t="inlineStr">
        <is>
          <t>THYAO</t>
        </is>
      </c>
      <c r="H6" s="240" t="inlineStr">
        <is>
          <t>THYAO GARAN ASELS</t>
        </is>
      </c>
      <c r="I6" s="211" t="n"/>
      <c r="J6" s="241" t="inlineStr">
        <is>
          <t>📌 Sembol</t>
        </is>
      </c>
      <c r="K6" s="242" t="inlineStr">
        <is>
          <t>BTCUSDT</t>
        </is>
      </c>
      <c r="L6" s="243" t="inlineStr">
        <is>
          <t>BTCUSDT ETHUSDT</t>
        </is>
      </c>
      <c r="M6" s="211" t="n"/>
      <c r="N6" s="244" t="inlineStr">
        <is>
          <t>📌 Sembol</t>
        </is>
      </c>
      <c r="O6" s="245" t="inlineStr">
        <is>
          <t>BTCUSDT</t>
        </is>
      </c>
      <c r="P6" s="246" t="inlineStr">
        <is>
          <t>BTCUSDT ETHUSDT</t>
        </is>
      </c>
      <c r="S6" s="234" t="inlineStr">
        <is>
          <t>2. Fiyat: Güncel fiyatı Matriks'ten bak, gir</t>
        </is>
      </c>
    </row>
    <row r="7" ht="27.75" customHeight="1" s="207">
      <c r="B7" s="235" t="inlineStr">
        <is>
          <t>💵 Fiyat</t>
        </is>
      </c>
      <c r="C7" s="247" t="n"/>
      <c r="D7" s="237" t="inlineStr">
        <is>
          <t>TL (Matriks)</t>
        </is>
      </c>
      <c r="E7" s="211" t="n"/>
      <c r="F7" s="238" t="inlineStr">
        <is>
          <t>💵 Fiyat</t>
        </is>
      </c>
      <c r="G7" s="248" t="n"/>
      <c r="H7" s="240" t="inlineStr">
        <is>
          <t>TL (Matriks)</t>
        </is>
      </c>
      <c r="I7" s="211" t="n"/>
      <c r="J7" s="241" t="inlineStr">
        <is>
          <t>💵 Fiyat</t>
        </is>
      </c>
      <c r="K7" s="249" t="n"/>
      <c r="L7" s="243" t="inlineStr">
        <is>
          <t>USDT (Binance)</t>
        </is>
      </c>
      <c r="M7" s="211" t="n"/>
      <c r="N7" s="244" t="inlineStr">
        <is>
          <t>💵 Fiyat</t>
        </is>
      </c>
      <c r="O7" s="250" t="n"/>
      <c r="P7" s="246" t="inlineStr">
        <is>
          <t>USDT (Binance)</t>
        </is>
      </c>
      <c r="S7" s="234" t="inlineStr">
        <is>
          <t>3. Sermaye: Bu bota ayırdığın toplam TL/USDT</t>
        </is>
      </c>
    </row>
    <row r="8" ht="25.5" customHeight="1" s="207">
      <c r="B8" s="235" t="inlineStr">
        <is>
          <t>💰 Sermaye</t>
        </is>
      </c>
      <c r="C8" s="251" t="n">
        <v>50000</v>
      </c>
      <c r="D8" s="237" t="inlineStr">
        <is>
          <t>TL</t>
        </is>
      </c>
      <c r="E8" s="211" t="n"/>
      <c r="F8" s="238" t="inlineStr">
        <is>
          <t>💰 Sermaye</t>
        </is>
      </c>
      <c r="G8" s="252" t="n">
        <v>50000</v>
      </c>
      <c r="H8" s="240" t="inlineStr">
        <is>
          <t>TL</t>
        </is>
      </c>
      <c r="I8" s="211" t="n"/>
      <c r="J8" s="241" t="inlineStr">
        <is>
          <t>💰 Sermaye</t>
        </is>
      </c>
      <c r="K8" s="253" t="n">
        <v>10000</v>
      </c>
      <c r="L8" s="243" t="inlineStr">
        <is>
          <t>USDT</t>
        </is>
      </c>
      <c r="M8" s="211" t="n"/>
      <c r="N8" s="244" t="inlineStr">
        <is>
          <t>💰 Sermaye</t>
        </is>
      </c>
      <c r="O8" s="254" t="n">
        <v>10000</v>
      </c>
      <c r="P8" s="246" t="inlineStr">
        <is>
          <t>USDT</t>
        </is>
      </c>
      <c r="S8" s="255" t="n"/>
    </row>
    <row r="9" ht="15" customHeight="1" s="207">
      <c r="S9" s="256" t="inlineStr">
        <is>
          <t>⚙️ AYARLAR</t>
        </is>
      </c>
    </row>
    <row r="10" ht="21.75" customHeight="1" s="207">
      <c r="B10" s="230" t="inlineStr">
        <is>
          <t>AYARLAR</t>
        </is>
      </c>
      <c r="C10" s="209" t="n"/>
      <c r="D10" s="210" t="n"/>
      <c r="E10" s="211" t="n"/>
      <c r="F10" s="231" t="inlineStr">
        <is>
          <t>AYARLAR</t>
        </is>
      </c>
      <c r="G10" s="213" t="n"/>
      <c r="H10" s="214" t="n"/>
      <c r="I10" s="211" t="n"/>
      <c r="J10" s="232" t="inlineStr">
        <is>
          <t>AYARLAR</t>
        </is>
      </c>
      <c r="K10" s="216" t="n"/>
      <c r="L10" s="217" t="n"/>
      <c r="M10" s="211" t="n"/>
      <c r="N10" s="233" t="inlineStr">
        <is>
          <t>AYARLAR</t>
        </is>
      </c>
      <c r="O10" s="219" t="n"/>
      <c r="P10" s="220" t="n"/>
      <c r="S10" s="234" t="inlineStr">
        <is>
          <t>• Adım (k%): Geometrik için yüzde oran</t>
        </is>
      </c>
    </row>
    <row r="11" ht="25.5" customHeight="1" s="207">
      <c r="B11" s="257" t="inlineStr">
        <is>
          <t>▶ Adım (TL)</t>
        </is>
      </c>
      <c r="C11" s="247">
        <f>C15*3</f>
        <v/>
      </c>
      <c r="D11" s="258" t="inlineStr">
        <is>
          <t>tick×3  (değiştirebilirsin)</t>
        </is>
      </c>
      <c r="E11" s="211" t="n"/>
      <c r="F11" s="259" t="inlineStr">
        <is>
          <t>▶ Adım (k %)</t>
        </is>
      </c>
      <c r="G11" s="260" t="n">
        <v>0.005</v>
      </c>
      <c r="H11" s="261" t="inlineStr">
        <is>
          <t>örn: 0.005 = %0.5</t>
        </is>
      </c>
      <c r="I11" s="211" t="n"/>
      <c r="J11" s="262" t="inlineStr">
        <is>
          <t>▶ Adım (USDT)</t>
        </is>
      </c>
      <c r="K11" s="263" t="n">
        <v>100</v>
      </c>
      <c r="L11" s="264" t="inlineStr">
        <is>
          <t>sabit miktar</t>
        </is>
      </c>
      <c r="M11" s="211" t="n"/>
      <c r="N11" s="265" t="inlineStr">
        <is>
          <t>▶ Adım (k %)</t>
        </is>
      </c>
      <c r="O11" s="266" t="n">
        <v>0.005</v>
      </c>
      <c r="P11" s="267" t="inlineStr">
        <is>
          <t>örn: 0.005 = %0.5</t>
        </is>
      </c>
      <c r="S11" s="234" t="inlineStr">
        <is>
          <t xml:space="preserve">  Önerilen: %0.5–%2 arası</t>
        </is>
      </c>
    </row>
    <row r="12" ht="21.75" customHeight="1" s="207">
      <c r="B12" s="235" t="inlineStr">
        <is>
          <t>Alt Seviye (alış)</t>
        </is>
      </c>
      <c r="C12" s="268" t="n">
        <v>5</v>
      </c>
      <c r="D12" s="237" t="inlineStr">
        <is>
          <t>alım emri sayısı</t>
        </is>
      </c>
      <c r="E12" s="211" t="n"/>
      <c r="F12" s="238" t="inlineStr">
        <is>
          <t>Alt Seviye (alış)</t>
        </is>
      </c>
      <c r="G12" s="269" t="n">
        <v>5</v>
      </c>
      <c r="H12" s="240" t="inlineStr">
        <is>
          <t>alım emri sayısı</t>
        </is>
      </c>
      <c r="I12" s="211" t="n"/>
      <c r="J12" s="241" t="inlineStr">
        <is>
          <t>Alt Seviye (alış)</t>
        </is>
      </c>
      <c r="K12" s="270" t="n">
        <v>5</v>
      </c>
      <c r="L12" s="243" t="inlineStr">
        <is>
          <t>alım emri sayısı</t>
        </is>
      </c>
      <c r="M12" s="211" t="n"/>
      <c r="N12" s="244" t="inlineStr">
        <is>
          <t>Alt Seviye (alış)</t>
        </is>
      </c>
      <c r="O12" s="271" t="n">
        <v>5</v>
      </c>
      <c r="P12" s="246" t="inlineStr">
        <is>
          <t>alım emri sayısı</t>
        </is>
      </c>
      <c r="S12" s="234" t="inlineStr">
        <is>
          <t>• Adım (TL): Aritmetik için sabit miktar</t>
        </is>
      </c>
    </row>
    <row r="13" ht="21.75" customHeight="1" s="207">
      <c r="B13" s="235" t="inlineStr">
        <is>
          <t>Üst Seviye (satış)</t>
        </is>
      </c>
      <c r="C13" s="268" t="n">
        <v>5</v>
      </c>
      <c r="D13" s="237" t="inlineStr">
        <is>
          <t>satış emri sayısı</t>
        </is>
      </c>
      <c r="E13" s="211" t="n"/>
      <c r="F13" s="238" t="inlineStr">
        <is>
          <t>Üst Seviye (satış)</t>
        </is>
      </c>
      <c r="G13" s="269" t="n">
        <v>5</v>
      </c>
      <c r="H13" s="240" t="inlineStr">
        <is>
          <t>satış emri sayısı</t>
        </is>
      </c>
      <c r="I13" s="211" t="n"/>
      <c r="J13" s="241" t="inlineStr">
        <is>
          <t>Üst Seviye (satış)</t>
        </is>
      </c>
      <c r="K13" s="270" t="n">
        <v>5</v>
      </c>
      <c r="L13" s="243" t="inlineStr">
        <is>
          <t>satış emri sayısı</t>
        </is>
      </c>
      <c r="M13" s="211" t="n"/>
      <c r="N13" s="244" t="inlineStr">
        <is>
          <t>Üst Seviye (satış)</t>
        </is>
      </c>
      <c r="O13" s="271" t="n">
        <v>5</v>
      </c>
      <c r="P13" s="246" t="inlineStr">
        <is>
          <t>satış emri sayısı</t>
        </is>
      </c>
      <c r="S13" s="234" t="inlineStr">
        <is>
          <t>• Alt/Üst Seviye: 5–10 önerilir</t>
        </is>
      </c>
    </row>
    <row r="14" ht="19.5" customHeight="1" s="207">
      <c r="B14" s="272" t="inlineStr">
        <is>
          <t>📐 KAP Fiyat Adımı</t>
        </is>
      </c>
      <c r="C14" s="273">
        <f>IF(C7&lt;2,0.01,IF(C7&lt;5,0.02,IF(C7&lt;10,0.05,IF(C7&lt;20,0.1,IF(C7&lt;50,0.2,IF(C7&lt;100,0.5,IF(C7&lt;200,1,IF(C7&lt;500,2,IF(C7&lt;1000,5,IF(C7&lt;2000,10,IF(C7&lt;5000,25,50)))))))))))</f>
        <v/>
      </c>
      <c r="D14" s="274" t="inlineStr">
        <is>
          <t>otomatik (KAP kuralı)</t>
        </is>
      </c>
      <c r="E14" s="211" t="n"/>
      <c r="F14" s="275" t="inlineStr">
        <is>
          <t>📐 KAP Fiyat Adımı</t>
        </is>
      </c>
      <c r="G14" s="276">
        <f>IF(G7&lt;2,0.01,IF(G7&lt;5,0.02,IF(G7&lt;10,0.05,IF(G7&lt;20,0.1,IF(G7&lt;50,0.2,IF(G7&lt;100,0.5,IF(G7&lt;200,1,IF(G7&lt;500,2,IF(G7&lt;1000,5,IF(G7&lt;2000,10,IF(G7&lt;5000,25,50)))))))))))</f>
        <v/>
      </c>
      <c r="H14" s="277" t="inlineStr">
        <is>
          <t>otomatik (KAP kuralı)</t>
        </is>
      </c>
      <c r="I14" s="211" t="n"/>
      <c r="J14" s="278" t="inlineStr">
        <is>
          <t>📐 Fiyat Hassasiyeti</t>
        </is>
      </c>
      <c r="K14" s="279" t="n">
        <v>1e-05</v>
      </c>
      <c r="L14" s="280" t="inlineStr">
        <is>
          <t>kripto ondalık basamak</t>
        </is>
      </c>
      <c r="M14" s="211" t="n"/>
      <c r="N14" s="281" t="inlineStr">
        <is>
          <t>📐 Fiyat Hassasiyeti</t>
        </is>
      </c>
      <c r="O14" s="282" t="n">
        <v>1e-05</v>
      </c>
      <c r="P14" s="283" t="inlineStr">
        <is>
          <t>kripto ondalık basamak</t>
        </is>
      </c>
      <c r="S14" s="234" t="inlineStr">
        <is>
          <t>• KAP Fiyat Adımı: Otomatik, değiştirme!</t>
        </is>
      </c>
    </row>
    <row r="15" ht="21.75" customHeight="1" s="207">
      <c r="B15" s="257" t="inlineStr">
        <is>
          <t>💸 Komisyon Oranı</t>
        </is>
      </c>
      <c r="C15" s="284" t="n"/>
      <c r="D15" s="258" t="inlineStr">
        <is>
          <t>boş=komisyonsuz · örn: 0,001</t>
        </is>
      </c>
      <c r="E15" s="211" t="n"/>
      <c r="F15" s="259" t="inlineStr">
        <is>
          <t>💸 Komisyon Oranı</t>
        </is>
      </c>
      <c r="G15" s="285" t="n"/>
      <c r="H15" s="261" t="inlineStr">
        <is>
          <t>boş=komisyonsuz · örn: 0,001</t>
        </is>
      </c>
      <c r="I15" s="211" t="n"/>
      <c r="J15" s="262" t="inlineStr">
        <is>
          <t>💸 Komisyon Oranı</t>
        </is>
      </c>
      <c r="K15" s="286" t="n"/>
      <c r="L15" s="264" t="inlineStr">
        <is>
          <t>boş=komisyonsuz · örn: 0,001</t>
        </is>
      </c>
      <c r="M15" s="211" t="n"/>
      <c r="N15" s="265" t="inlineStr">
        <is>
          <t>💸 Komisyon Oranı</t>
        </is>
      </c>
      <c r="O15" s="287" t="n"/>
      <c r="P15" s="267" t="inlineStr">
        <is>
          <t>boş=komisyonsuz · örn: 0,001</t>
        </is>
      </c>
      <c r="S15" s="234" t="inlineStr">
        <is>
          <t>• Komisyon: Broker oranın (boş=komisyonsuz)</t>
        </is>
      </c>
    </row>
    <row r="16" ht="15" customHeight="1" s="207">
      <c r="S16" s="255" t="n"/>
    </row>
    <row r="17" ht="21.75" customHeight="1" s="207">
      <c r="B17" s="230" t="inlineStr">
        <is>
          <t>HESAPLANAN</t>
        </is>
      </c>
      <c r="C17" s="209" t="n"/>
      <c r="D17" s="210" t="n"/>
      <c r="E17" s="211" t="n"/>
      <c r="F17" s="231" t="inlineStr">
        <is>
          <t>HESAPLANAN</t>
        </is>
      </c>
      <c r="G17" s="213" t="n"/>
      <c r="H17" s="214" t="n"/>
      <c r="I17" s="211" t="n"/>
      <c r="J17" s="232" t="inlineStr">
        <is>
          <t>HESAPLANAN</t>
        </is>
      </c>
      <c r="K17" s="216" t="n"/>
      <c r="L17" s="217" t="n"/>
      <c r="M17" s="211" t="n"/>
      <c r="N17" s="233" t="inlineStr">
        <is>
          <t>HESAPLANAN</t>
        </is>
      </c>
      <c r="O17" s="219" t="n"/>
      <c r="P17" s="220" t="n"/>
      <c r="S17" s="288" t="inlineStr">
        <is>
          <t>📊 HESAPLANAN — Kontrol et</t>
        </is>
      </c>
    </row>
    <row r="18" ht="19.5" customHeight="1" s="207">
      <c r="B18" s="289" t="inlineStr">
        <is>
          <t>Grid Başı Tutar</t>
        </is>
      </c>
      <c r="C18" s="290">
        <f>IFERROR(C8/(C12+C13),"—")</f>
        <v/>
      </c>
      <c r="D18" s="291" t="inlineStr">
        <is>
          <t>TL</t>
        </is>
      </c>
      <c r="E18" s="211" t="n"/>
      <c r="F18" s="292" t="inlineStr">
        <is>
          <t>Grid Başı Tutar</t>
        </is>
      </c>
      <c r="G18" s="293">
        <f>IFERROR(G8/(G12+G13),"—")</f>
        <v/>
      </c>
      <c r="H18" s="294" t="inlineStr">
        <is>
          <t>TL</t>
        </is>
      </c>
      <c r="I18" s="211" t="n"/>
      <c r="J18" s="295" t="inlineStr">
        <is>
          <t>Grid Başı Tutar</t>
        </is>
      </c>
      <c r="K18" s="296">
        <f>IFERROR(K8/(K12+K13),"—")</f>
        <v/>
      </c>
      <c r="L18" s="297" t="inlineStr">
        <is>
          <t>USDT</t>
        </is>
      </c>
      <c r="M18" s="211" t="n"/>
      <c r="N18" s="298" t="inlineStr">
        <is>
          <t>Grid Başı Tutar</t>
        </is>
      </c>
      <c r="O18" s="299">
        <f>IFERROR(O8/(O12+O13),"—")</f>
        <v/>
      </c>
      <c r="P18" s="300" t="inlineStr">
        <is>
          <t>USDT</t>
        </is>
      </c>
      <c r="S18" s="234" t="inlineStr">
        <is>
          <t>• Grid Başı Tutar: Her seviye için ayrılan para</t>
        </is>
      </c>
    </row>
    <row r="19" ht="19.5" customHeight="1" s="207">
      <c r="B19" s="289" t="inlineStr">
        <is>
          <t>Lot / Grid</t>
        </is>
      </c>
      <c r="C19" s="301">
        <f>IFERROR(FLOOR(C18/C7,1),"—")</f>
        <v/>
      </c>
      <c r="D19" s="291" t="inlineStr">
        <is>
          <t>adet (tam)</t>
        </is>
      </c>
      <c r="E19" s="211" t="n"/>
      <c r="F19" s="292" t="inlineStr">
        <is>
          <t>Lot / Grid</t>
        </is>
      </c>
      <c r="G19" s="302">
        <f>IFERROR(FLOOR(G18/G7,1),"—")</f>
        <v/>
      </c>
      <c r="H19" s="294" t="inlineStr">
        <is>
          <t>adet (tam)</t>
        </is>
      </c>
      <c r="I19" s="211" t="n"/>
      <c r="J19" s="295" t="inlineStr">
        <is>
          <t>Lot / Grid</t>
        </is>
      </c>
      <c r="K19" s="303">
        <f>IFERROR(ROUND(K18/K7,4),"—")</f>
        <v/>
      </c>
      <c r="L19" s="297" t="inlineStr">
        <is>
          <t>adet (ondalık)</t>
        </is>
      </c>
      <c r="M19" s="211" t="n"/>
      <c r="N19" s="298" t="inlineStr">
        <is>
          <t>Lot / Grid</t>
        </is>
      </c>
      <c r="O19" s="304">
        <f>IFERROR(ROUND(O18/O7,4),"—")</f>
        <v/>
      </c>
      <c r="P19" s="300" t="inlineStr">
        <is>
          <t>adet (ondalık)</t>
        </is>
      </c>
      <c r="S19" s="234" t="inlineStr">
        <is>
          <t>• Lot/Grid: Her emirde alınacak hisse/coin</t>
        </is>
      </c>
    </row>
    <row r="20" ht="21.75" customHeight="1" s="207">
      <c r="B20" s="289" t="inlineStr">
        <is>
          <t>Net Kâr / Grid</t>
        </is>
      </c>
      <c r="C20" s="305">
        <f>IFERROR(IF(C15="",C19*C11,C19*(C11-2*C15*C7)),"—")</f>
        <v/>
      </c>
      <c r="D20" s="291" t="inlineStr">
        <is>
          <t>TL</t>
        </is>
      </c>
      <c r="E20" s="211" t="n"/>
      <c r="F20" s="292" t="inlineStr">
        <is>
          <t>Net Kâr / Grid</t>
        </is>
      </c>
      <c r="G20" s="305">
        <f>IFERROR(IF(G15="",G19*G7*G11,G19*G7*(G11-2*G15)),"—")</f>
        <v/>
      </c>
      <c r="H20" s="294" t="inlineStr">
        <is>
          <t>TL</t>
        </is>
      </c>
      <c r="I20" s="211" t="n"/>
      <c r="J20" s="295" t="inlineStr">
        <is>
          <t>Net Kâr / Grid</t>
        </is>
      </c>
      <c r="K20" s="305">
        <f>IFERROR(IF(K15="",K19*K11,K19*(K11-2*K15*K7)),"—")</f>
        <v/>
      </c>
      <c r="L20" s="297" t="inlineStr">
        <is>
          <t>USDT</t>
        </is>
      </c>
      <c r="M20" s="211" t="n"/>
      <c r="N20" s="298" t="inlineStr">
        <is>
          <t>Net Kâr / Grid</t>
        </is>
      </c>
      <c r="O20" s="305">
        <f>IFERROR(IF(O15="",O19*O7*O11,O19*O7*(O11-2*O15)),"—")</f>
        <v/>
      </c>
      <c r="P20" s="300" t="inlineStr">
        <is>
          <t>USDT</t>
        </is>
      </c>
      <c r="S20" s="234" t="inlineStr">
        <is>
          <t>• Net Kâr/Grid: Bir döngüden gelen kâr</t>
        </is>
      </c>
    </row>
    <row r="21" ht="19.5" customHeight="1" s="207">
      <c r="B21" s="306" t="inlineStr">
        <is>
          <t>⚠️ Kontrol</t>
        </is>
      </c>
      <c r="C21" s="307">
        <f>IF(C7="","⚠️ Fiyat girin",IF(C15="",IF(C11&gt;0,"✅ Kârlı","❌ Adım girin"),IF(C11&gt;2*C15*C7,"✅ Kârlı","❌ Adımı artır")))</f>
        <v/>
      </c>
      <c r="D21" s="224" t="n"/>
      <c r="E21" s="211" t="n"/>
      <c r="F21" s="308" t="inlineStr">
        <is>
          <t>⚠️ Kontrol</t>
        </is>
      </c>
      <c r="G21" s="309">
        <f>IF(G7="","⚠️ Fiyat girin",IF(G15="",IF(G11&gt;0,"✅ Kârlı","❌ Adım girin"),IF(G11&gt;2*G15,"✅ Kârlı","❌ Adımı artır")))</f>
        <v/>
      </c>
      <c r="H21" s="224" t="n"/>
      <c r="I21" s="211" t="n"/>
      <c r="J21" s="310" t="inlineStr">
        <is>
          <t>⚠️ Kontrol</t>
        </is>
      </c>
      <c r="K21" s="311">
        <f>IF(K7="","⚠️ Fiyat girin",IF(K15="",IF(K11&gt;0,"✅ Kârlı","❌ Adım girin"),IF(K11&gt;2*K15*K7,"✅ Kârlı","❌ Adımı artır")))</f>
        <v/>
      </c>
      <c r="L21" s="224" t="n"/>
      <c r="M21" s="211" t="n"/>
      <c r="N21" s="312" t="inlineStr">
        <is>
          <t>⚠️ Kontrol</t>
        </is>
      </c>
      <c r="O21" s="313">
        <f>IF(O7="","⚠️ Fiyat girin",IF(O15="",IF(O11&gt;0,"✅ Kârlı","❌ Adım girin"),IF(O11&gt;2*O15,"✅ Kârlı","❌ Adımı artır")))</f>
        <v/>
      </c>
      <c r="P21" s="224" t="n"/>
      <c r="S21" s="234" t="inlineStr">
        <is>
          <t>✅ Kârlı görünüyorsa devam edebilirsin</t>
        </is>
      </c>
    </row>
    <row r="22" ht="15" customHeight="1" s="207">
      <c r="S22" s="234" t="inlineStr">
        <is>
          <t>❌ Adımı artır görünüyorsa adımı büyüt!</t>
        </is>
      </c>
    </row>
    <row r="23" ht="21.75" customHeight="1" s="207">
      <c r="B23" s="314" t="inlineStr">
        <is>
          <t>GRİD SEVİYELERİ</t>
        </is>
      </c>
      <c r="C23" s="209" t="n"/>
      <c r="D23" s="210" t="n"/>
      <c r="E23" s="211" t="n"/>
      <c r="F23" s="315" t="inlineStr">
        <is>
          <t>GRİD SEVİYELERİ</t>
        </is>
      </c>
      <c r="G23" s="213" t="n"/>
      <c r="H23" s="214" t="n"/>
      <c r="I23" s="211" t="n"/>
      <c r="J23" s="316" t="inlineStr">
        <is>
          <t>GRİD SEVİYELERİ</t>
        </is>
      </c>
      <c r="K23" s="216" t="n"/>
      <c r="L23" s="217" t="n"/>
      <c r="M23" s="211" t="n"/>
      <c r="N23" s="317" t="inlineStr">
        <is>
          <t>GRİD SEVİYELERİ</t>
        </is>
      </c>
      <c r="O23" s="219" t="n"/>
      <c r="P23" s="220" t="n"/>
      <c r="S23" s="255" t="n"/>
    </row>
    <row r="24" ht="18" customHeight="1" s="207">
      <c r="B24" s="318" t="inlineStr">
        <is>
          <t>YÖN</t>
        </is>
      </c>
      <c r="C24" s="318" t="inlineStr">
        <is>
          <t>FİYAT</t>
        </is>
      </c>
      <c r="D24" s="318" t="inlineStr">
        <is>
          <t>LOT · TUTAR</t>
        </is>
      </c>
      <c r="E24" s="211" t="n"/>
      <c r="F24" s="318" t="inlineStr">
        <is>
          <t>YÖN</t>
        </is>
      </c>
      <c r="G24" s="318" t="inlineStr">
        <is>
          <t>FİYAT</t>
        </is>
      </c>
      <c r="H24" s="318" t="inlineStr">
        <is>
          <t>LOT · TUTAR</t>
        </is>
      </c>
      <c r="I24" s="211" t="n"/>
      <c r="J24" s="318" t="inlineStr">
        <is>
          <t>YÖN</t>
        </is>
      </c>
      <c r="K24" s="318" t="inlineStr">
        <is>
          <t>FİYAT</t>
        </is>
      </c>
      <c r="L24" s="318" t="inlineStr">
        <is>
          <t>LOT · TUTAR</t>
        </is>
      </c>
      <c r="M24" s="211" t="n"/>
      <c r="N24" s="318" t="inlineStr">
        <is>
          <t>YÖN</t>
        </is>
      </c>
      <c r="O24" s="318" t="inlineStr">
        <is>
          <t>FİYAT</t>
        </is>
      </c>
      <c r="P24" s="318" t="inlineStr">
        <is>
          <t>LOT · TUTAR</t>
        </is>
      </c>
      <c r="S24" s="319" t="inlineStr">
        <is>
          <t>📈 GRİD SEVİYELERİ</t>
        </is>
      </c>
    </row>
    <row r="25" ht="18" customHeight="1" s="207">
      <c r="B25" s="320">
        <f>IF(C13-0&lt;=0,"","SATIŞ "&amp;(C13-0))</f>
        <v/>
      </c>
      <c r="C25" s="321">
        <f>IFERROR(IF((C13-0)&lt;=0,"",IF(C7="","",IF(C7&lt;=0,"",IFERROR(ROUND(ROUND((C7+C11*(C13-0))/C14,0)*C14,2),"")))),"")</f>
        <v/>
      </c>
      <c r="D25" s="322">
        <f>IFERROR(IF(C25="","",FLOOR(C18/C7,1)&amp;" adet·"&amp;TEXT(FLOOR(C18/C7,1)*C25,"#,##0.0")&amp;" TL"),"")</f>
        <v/>
      </c>
      <c r="E25" s="211" t="n"/>
      <c r="F25" s="320">
        <f>IF(G13-0&lt;=0,"","SATIŞ "&amp;(G13-0))</f>
        <v/>
      </c>
      <c r="G25" s="321">
        <f>IFERROR(IF((G13-0)&lt;=0,"",IF(G7="","",IF(G7&lt;=0,"",IFERROR(ROUND(ROUND((G7*(1+G11)^(G13-0))/G14,0)*G14,2),"")))),"")</f>
        <v/>
      </c>
      <c r="H25" s="322">
        <f>IFERROR(IF(G25="","",FLOOR(G18/G7,1)&amp;" adet·"&amp;TEXT(FLOOR(G18/G7,1)*G25,"#,##0.0")&amp;" TL"),"")</f>
        <v/>
      </c>
      <c r="I25" s="211" t="n"/>
      <c r="J25" s="320">
        <f>IF(K13-0&lt;=0,"","SATIŞ "&amp;(K13-0))</f>
        <v/>
      </c>
      <c r="K25" s="321">
        <f>IFERROR(IF((K13-0)&lt;=0,"",IF(K7="","",IF(K7&lt;=0,"",ROUND(K7+K11*(K13-0),4)))),"")</f>
        <v/>
      </c>
      <c r="L25" s="322">
        <f>IFERROR(IF(K25="","",ROUND(K18/K7,2)&amp;" adet·"&amp;TEXT(ROUND(K18/K7,2)*K25,"#,##0.00")&amp;" USDT"),"")</f>
        <v/>
      </c>
      <c r="M25" s="211" t="n"/>
      <c r="N25" s="320">
        <f>IF(O13-0&lt;=0,"","SATIŞ "&amp;(O13-0))</f>
        <v/>
      </c>
      <c r="O25" s="321">
        <f>IFERROR(IF((O13-0)&lt;=0,"",IF(O7="","",IF(O7&lt;=0,"",ROUND(O7*(1+O11)^(O13-0),4)))),"")</f>
        <v/>
      </c>
      <c r="P25" s="322">
        <f>IFERROR(IF(O25="","",ROUND(O18/O7,2)&amp;" adet·"&amp;TEXT(ROUND(O18/O7,2)*O25,"#,##0.00")&amp;" USDT"),"")</f>
        <v/>
      </c>
      <c r="S25" s="234" t="inlineStr">
        <is>
          <t>• Kırmızı satırlar → SATIŞ fiyatları</t>
        </is>
      </c>
    </row>
    <row r="26" ht="18" customHeight="1" s="207">
      <c r="B26" s="320">
        <f>IF(C13-1&lt;=0,"","SATIŞ "&amp;(C13-1))</f>
        <v/>
      </c>
      <c r="C26" s="321">
        <f>IFERROR(IF((C13-1)&lt;=0,"",IF(C7="","",IF(C7&lt;=0,"",IFERROR(ROUND(ROUND((C7+C11*(C13-1))/C14,0)*C14,2),"")))),"")</f>
        <v/>
      </c>
      <c r="D26" s="322">
        <f>IFERROR(IF(C26="","",FLOOR(C18/C7,1)&amp;" adet·"&amp;TEXT(FLOOR(C18/C7,1)*C26,"#,##0.0")&amp;" TL"),"")</f>
        <v/>
      </c>
      <c r="E26" s="211" t="n"/>
      <c r="F26" s="320">
        <f>IF(G13-1&lt;=0,"","SATIŞ "&amp;(G13-1))</f>
        <v/>
      </c>
      <c r="G26" s="321">
        <f>IFERROR(IF((G13-1)&lt;=0,"",IF(G7="","",IF(G7&lt;=0,"",IFERROR(ROUND(ROUND((G7*(1+G11)^(G13-1))/G14,0)*G14,2),"")))),"")</f>
        <v/>
      </c>
      <c r="H26" s="322">
        <f>IFERROR(IF(G26="","",FLOOR(G18/G7,1)&amp;" adet·"&amp;TEXT(FLOOR(G18/G7,1)*G26,"#,##0.0")&amp;" TL"),"")</f>
        <v/>
      </c>
      <c r="I26" s="211" t="n"/>
      <c r="J26" s="320">
        <f>IF(K13-1&lt;=0,"","SATIŞ "&amp;(K13-1))</f>
        <v/>
      </c>
      <c r="K26" s="321">
        <f>IFERROR(IF((K13-1)&lt;=0,"",IF(K7="","",IF(K7&lt;=0,"",ROUND(K7+K11*(K13-1),4)))),"")</f>
        <v/>
      </c>
      <c r="L26" s="322">
        <f>IFERROR(IF(K26="","",ROUND(K18/K7,2)&amp;" adet·"&amp;TEXT(ROUND(K18/K7,2)*K26,"#,##0.00")&amp;" USDT"),"")</f>
        <v/>
      </c>
      <c r="M26" s="211" t="n"/>
      <c r="N26" s="320">
        <f>IF(O13-1&lt;=0,"","SATIŞ "&amp;(O13-1))</f>
        <v/>
      </c>
      <c r="O26" s="321">
        <f>IFERROR(IF((O13-1)&lt;=0,"",IF(O7="","",IF(O7&lt;=0,"",ROUND(O7*(1+O11)^(O13-1),4)))),"")</f>
        <v/>
      </c>
      <c r="P26" s="322">
        <f>IFERROR(IF(O26="","",ROUND(O18/O7,2)&amp;" adet·"&amp;TEXT(ROUND(O18/O7,2)*O26,"#,##0.00")&amp;" USDT"),"")</f>
        <v/>
      </c>
      <c r="S26" s="234" t="inlineStr">
        <is>
          <t>• Altın satır → Başlangıç fiyatın (merkez)</t>
        </is>
      </c>
    </row>
    <row r="27" ht="18" customHeight="1" s="207">
      <c r="B27" s="320">
        <f>IF(C13-2&lt;=0,"","SATIŞ "&amp;(C13-2))</f>
        <v/>
      </c>
      <c r="C27" s="321">
        <f>IFERROR(IF((C13-2)&lt;=0,"",IF(C7="","",IF(C7&lt;=0,"",IFERROR(ROUND(ROUND((C7+C11*(C13-2))/C14,0)*C14,2),"")))),"")</f>
        <v/>
      </c>
      <c r="D27" s="322">
        <f>IFERROR(IF(C27="","",FLOOR(C18/C7,1)&amp;" adet·"&amp;TEXT(FLOOR(C18/C7,1)*C27,"#,##0.0")&amp;" TL"),"")</f>
        <v/>
      </c>
      <c r="E27" s="211" t="n"/>
      <c r="F27" s="320">
        <f>IF(G13-2&lt;=0,"","SATIŞ "&amp;(G13-2))</f>
        <v/>
      </c>
      <c r="G27" s="321">
        <f>IFERROR(IF((G13-2)&lt;=0,"",IF(G7="","",IF(G7&lt;=0,"",IFERROR(ROUND(ROUND((G7*(1+G11)^(G13-2))/G14,0)*G14,2),"")))),"")</f>
        <v/>
      </c>
      <c r="H27" s="322">
        <f>IFERROR(IF(G27="","",FLOOR(G18/G7,1)&amp;" adet·"&amp;TEXT(FLOOR(G18/G7,1)*G27,"#,##0.0")&amp;" TL"),"")</f>
        <v/>
      </c>
      <c r="I27" s="211" t="n"/>
      <c r="J27" s="320">
        <f>IF(K13-2&lt;=0,"","SATIŞ "&amp;(K13-2))</f>
        <v/>
      </c>
      <c r="K27" s="321">
        <f>IFERROR(IF((K13-2)&lt;=0,"",IF(K7="","",IF(K7&lt;=0,"",ROUND(K7+K11*(K13-2),4)))),"")</f>
        <v/>
      </c>
      <c r="L27" s="322">
        <f>IFERROR(IF(K27="","",ROUND(K18/K7,2)&amp;" adet·"&amp;TEXT(ROUND(K18/K7,2)*K27,"#,##0.00")&amp;" USDT"),"")</f>
        <v/>
      </c>
      <c r="M27" s="211" t="n"/>
      <c r="N27" s="320">
        <f>IF(O13-2&lt;=0,"","SATIŞ "&amp;(O13-2))</f>
        <v/>
      </c>
      <c r="O27" s="321">
        <f>IFERROR(IF((O13-2)&lt;=0,"",IF(O7="","",IF(O7&lt;=0,"",ROUND(O7*(1+O11)^(O13-2),4)))),"")</f>
        <v/>
      </c>
      <c r="P27" s="322">
        <f>IFERROR(IF(O27="","",ROUND(O18/O7,2)&amp;" adet·"&amp;TEXT(ROUND(O18/O7,2)*O27,"#,##0.00")&amp;" USDT"),"")</f>
        <v/>
      </c>
      <c r="S27" s="234" t="inlineStr">
        <is>
          <t>• Renkli satırlar → ALIŞ fiyatları</t>
        </is>
      </c>
    </row>
    <row r="28" ht="18" customHeight="1" s="207">
      <c r="B28" s="320">
        <f>IF(C13-3&lt;=0,"","SATIŞ "&amp;(C13-3))</f>
        <v/>
      </c>
      <c r="C28" s="321">
        <f>IFERROR(IF((C13-3)&lt;=0,"",IF(C7="","",IF(C7&lt;=0,"",IFERROR(ROUND(ROUND((C7+C11*(C13-3))/C14,0)*C14,2),"")))),"")</f>
        <v/>
      </c>
      <c r="D28" s="322">
        <f>IFERROR(IF(C28="","",FLOOR(C18/C7,1)&amp;" adet·"&amp;TEXT(FLOOR(C18/C7,1)*C28,"#,##0.0")&amp;" TL"),"")</f>
        <v/>
      </c>
      <c r="E28" s="211" t="n"/>
      <c r="F28" s="320">
        <f>IF(G13-3&lt;=0,"","SATIŞ "&amp;(G13-3))</f>
        <v/>
      </c>
      <c r="G28" s="321">
        <f>IFERROR(IF((G13-3)&lt;=0,"",IF(G7="","",IF(G7&lt;=0,"",IFERROR(ROUND(ROUND((G7*(1+G11)^(G13-3))/G14,0)*G14,2),"")))),"")</f>
        <v/>
      </c>
      <c r="H28" s="322">
        <f>IFERROR(IF(G28="","",FLOOR(G18/G7,1)&amp;" adet·"&amp;TEXT(FLOOR(G18/G7,1)*G28,"#,##0.0")&amp;" TL"),"")</f>
        <v/>
      </c>
      <c r="I28" s="211" t="n"/>
      <c r="J28" s="320">
        <f>IF(K13-3&lt;=0,"","SATIŞ "&amp;(K13-3))</f>
        <v/>
      </c>
      <c r="K28" s="321">
        <f>IFERROR(IF((K13-3)&lt;=0,"",IF(K7="","",IF(K7&lt;=0,"",ROUND(K7+K11*(K13-3),4)))),"")</f>
        <v/>
      </c>
      <c r="L28" s="322">
        <f>IFERROR(IF(K28="","",ROUND(K18/K7,2)&amp;" adet·"&amp;TEXT(ROUND(K18/K7,2)*K28,"#,##0.00")&amp;" USDT"),"")</f>
        <v/>
      </c>
      <c r="M28" s="211" t="n"/>
      <c r="N28" s="320">
        <f>IF(O13-3&lt;=0,"","SATIŞ "&amp;(O13-3))</f>
        <v/>
      </c>
      <c r="O28" s="321">
        <f>IFERROR(IF((O13-3)&lt;=0,"",IF(O7="","",IF(O7&lt;=0,"",ROUND(O7*(1+O11)^(O13-3),4)))),"")</f>
        <v/>
      </c>
      <c r="P28" s="322">
        <f>IFERROR(IF(O28="","",ROUND(O18/O7,2)&amp;" adet·"&amp;TEXT(ROUND(O18/O7,2)*O28,"#,##0.00")&amp;" USDT"),"")</f>
        <v/>
      </c>
      <c r="S28" s="234" t="inlineStr">
        <is>
          <t>Bu fiyatları platforma birebir gir!</t>
        </is>
      </c>
    </row>
    <row r="29" ht="18" customHeight="1" s="207">
      <c r="B29" s="320">
        <f>IF(C13-4&lt;=0,"","SATIŞ "&amp;(C13-4))</f>
        <v/>
      </c>
      <c r="C29" s="321">
        <f>IFERROR(IF((C13-4)&lt;=0,"",IF(C7="","",IF(C7&lt;=0,"",IFERROR(ROUND(ROUND((C7+C11*(C13-4))/C14,0)*C14,2),"")))),"")</f>
        <v/>
      </c>
      <c r="D29" s="322">
        <f>IFERROR(IF(C29="","",FLOOR(C18/C7,1)&amp;" adet·"&amp;TEXT(FLOOR(C18/C7,1)*C29,"#,##0.0")&amp;" TL"),"")</f>
        <v/>
      </c>
      <c r="E29" s="211" t="n"/>
      <c r="F29" s="320">
        <f>IF(G13-4&lt;=0,"","SATIŞ "&amp;(G13-4))</f>
        <v/>
      </c>
      <c r="G29" s="321">
        <f>IFERROR(IF((G13-4)&lt;=0,"",IF(G7="","",IF(G7&lt;=0,"",IFERROR(ROUND(ROUND((G7*(1+G11)^(G13-4))/G14,0)*G14,2),"")))),"")</f>
        <v/>
      </c>
      <c r="H29" s="322">
        <f>IFERROR(IF(G29="","",FLOOR(G18/G7,1)&amp;" adet·"&amp;TEXT(FLOOR(G18/G7,1)*G29,"#,##0.0")&amp;" TL"),"")</f>
        <v/>
      </c>
      <c r="I29" s="211" t="n"/>
      <c r="J29" s="320">
        <f>IF(K13-4&lt;=0,"","SATIŞ "&amp;(K13-4))</f>
        <v/>
      </c>
      <c r="K29" s="321">
        <f>IFERROR(IF((K13-4)&lt;=0,"",IF(K7="","",IF(K7&lt;=0,"",ROUND(K7+K11*(K13-4),4)))),"")</f>
        <v/>
      </c>
      <c r="L29" s="322">
        <f>IFERROR(IF(K29="","",ROUND(K18/K7,2)&amp;" adet·"&amp;TEXT(ROUND(K18/K7,2)*K29,"#,##0.00")&amp;" USDT"),"")</f>
        <v/>
      </c>
      <c r="M29" s="211" t="n"/>
      <c r="N29" s="320">
        <f>IF(O13-4&lt;=0,"","SATIŞ "&amp;(O13-4))</f>
        <v/>
      </c>
      <c r="O29" s="321">
        <f>IFERROR(IF((O13-4)&lt;=0,"",IF(O7="","",IF(O7&lt;=0,"",ROUND(O7*(1+O11)^(O13-4),4)))),"")</f>
        <v/>
      </c>
      <c r="P29" s="322">
        <f>IFERROR(IF(O29="","",ROUND(O18/O7,2)&amp;" adet·"&amp;TEXT(ROUND(O18/O7,2)*O29,"#,##0.00")&amp;" USDT"),"")</f>
        <v/>
      </c>
      <c r="S29" s="255" t="n"/>
    </row>
    <row r="30" ht="18" customHeight="1" s="207">
      <c r="B30" s="320">
        <f>IF(C13-5&lt;=0,"","SATIŞ "&amp;(C13-5))</f>
        <v/>
      </c>
      <c r="C30" s="321">
        <f>IFERROR(IF((C13-5)&lt;=0,"",IF(C7="","",IF(C7&lt;=0,"",IFERROR(ROUND(ROUND((C7+C11*(C13-5))/C14,0)*C14,2),"")))),"")</f>
        <v/>
      </c>
      <c r="D30" s="322">
        <f>IFERROR(IF(C30="","",FLOOR(C18/C7,1)&amp;" adet·"&amp;TEXT(FLOOR(C18/C7,1)*C30,"#,##0.0")&amp;" TL"),"")</f>
        <v/>
      </c>
      <c r="E30" s="211" t="n"/>
      <c r="F30" s="320">
        <f>IF(G13-5&lt;=0,"","SATIŞ "&amp;(G13-5))</f>
        <v/>
      </c>
      <c r="G30" s="321">
        <f>IFERROR(IF((G13-5)&lt;=0,"",IF(G7="","",IF(G7&lt;=0,"",IFERROR(ROUND(ROUND((G7*(1+G11)^(G13-5))/G14,0)*G14,2),"")))),"")</f>
        <v/>
      </c>
      <c r="H30" s="322">
        <f>IFERROR(IF(G30="","",FLOOR(G18/G7,1)&amp;" adet·"&amp;TEXT(FLOOR(G18/G7,1)*G30,"#,##0.0")&amp;" TL"),"")</f>
        <v/>
      </c>
      <c r="I30" s="211" t="n"/>
      <c r="J30" s="320">
        <f>IF(K13-5&lt;=0,"","SATIŞ "&amp;(K13-5))</f>
        <v/>
      </c>
      <c r="K30" s="321">
        <f>IFERROR(IF((K13-5)&lt;=0,"",IF(K7="","",IF(K7&lt;=0,"",ROUND(K7+K11*(K13-5),4)))),"")</f>
        <v/>
      </c>
      <c r="L30" s="322">
        <f>IFERROR(IF(K30="","",ROUND(K18/K7,2)&amp;" adet·"&amp;TEXT(ROUND(K18/K7,2)*K30,"#,##0.00")&amp;" USDT"),"")</f>
        <v/>
      </c>
      <c r="M30" s="211" t="n"/>
      <c r="N30" s="320">
        <f>IF(O13-5&lt;=0,"","SATIŞ "&amp;(O13-5))</f>
        <v/>
      </c>
      <c r="O30" s="321">
        <f>IFERROR(IF((O13-5)&lt;=0,"",IF(O7="","",IF(O7&lt;=0,"",ROUND(O7*(1+O11)^(O13-5),4)))),"")</f>
        <v/>
      </c>
      <c r="P30" s="322">
        <f>IFERROR(IF(O30="","",ROUND(O18/O7,2)&amp;" adet·"&amp;TEXT(ROUND(O18/O7,2)*O30,"#,##0.00")&amp;" USDT"),"")</f>
        <v/>
      </c>
      <c r="S30" s="229" t="inlineStr">
        <is>
          <t>💰 KÂR TAHMİNİ</t>
        </is>
      </c>
    </row>
    <row r="31" ht="18" customHeight="1" s="207">
      <c r="B31" s="320">
        <f>IF(C13-6&lt;=0,"","SATIŞ "&amp;(C13-6))</f>
        <v/>
      </c>
      <c r="C31" s="321">
        <f>IFERROR(IF((C13-6)&lt;=0,"",IF(C7="","",IF(C7&lt;=0,"",IFERROR(ROUND(ROUND((C7+C11*(C13-6))/C14,0)*C14,2),"")))),"")</f>
        <v/>
      </c>
      <c r="D31" s="322">
        <f>IFERROR(IF(C31="","",FLOOR(C18/C7,1)&amp;" adet·"&amp;TEXT(FLOOR(C18/C7,1)*C31,"#,##0.0")&amp;" TL"),"")</f>
        <v/>
      </c>
      <c r="E31" s="211" t="n"/>
      <c r="F31" s="320">
        <f>IF(G13-6&lt;=0,"","SATIŞ "&amp;(G13-6))</f>
        <v/>
      </c>
      <c r="G31" s="321">
        <f>IFERROR(IF((G13-6)&lt;=0,"",IF(G7="","",IF(G7&lt;=0,"",IFERROR(ROUND(ROUND((G7*(1+G11)^(G13-6))/G14,0)*G14,2),"")))),"")</f>
        <v/>
      </c>
      <c r="H31" s="322">
        <f>IFERROR(IF(G31="","",FLOOR(G18/G7,1)&amp;" adet·"&amp;TEXT(FLOOR(G18/G7,1)*G31,"#,##0.0")&amp;" TL"),"")</f>
        <v/>
      </c>
      <c r="I31" s="211" t="n"/>
      <c r="J31" s="320">
        <f>IF(K13-6&lt;=0,"","SATIŞ "&amp;(K13-6))</f>
        <v/>
      </c>
      <c r="K31" s="321">
        <f>IFERROR(IF((K13-6)&lt;=0,"",IF(K7="","",IF(K7&lt;=0,"",ROUND(K7+K11*(K13-6),4)))),"")</f>
        <v/>
      </c>
      <c r="L31" s="322">
        <f>IFERROR(IF(K31="","",ROUND(K18/K7,2)&amp;" adet·"&amp;TEXT(ROUND(K18/K7,2)*K31,"#,##0.00")&amp;" USDT"),"")</f>
        <v/>
      </c>
      <c r="M31" s="211" t="n"/>
      <c r="N31" s="320">
        <f>IF(O13-6&lt;=0,"","SATIŞ "&amp;(O13-6))</f>
        <v/>
      </c>
      <c r="O31" s="321">
        <f>IFERROR(IF((O13-6)&lt;=0,"",IF(O7="","",IF(O7&lt;=0,"",ROUND(O7*(1+O11)^(O13-6),4)))),"")</f>
        <v/>
      </c>
      <c r="P31" s="322">
        <f>IFERROR(IF(O31="","",ROUND(O18/O7,2)&amp;" adet·"&amp;TEXT(ROUND(O18/O7,2)*O31,"#,##0.00")&amp;" USDT"),"")</f>
        <v/>
      </c>
      <c r="S31" s="234" t="inlineStr">
        <is>
          <t>• Aylık Hedef %: Beklentini gir (örn: %10)</t>
        </is>
      </c>
    </row>
    <row r="32" ht="18" customHeight="1" s="207">
      <c r="B32" s="320">
        <f>IF(C13-7&lt;=0,"","SATIŞ "&amp;(C13-7))</f>
        <v/>
      </c>
      <c r="C32" s="321">
        <f>IFERROR(IF((C13-7)&lt;=0,"",IF(C7="","",IF(C7&lt;=0,"",IFERROR(ROUND(ROUND((C7+C11*(C13-7))/C14,0)*C14,2),"")))),"")</f>
        <v/>
      </c>
      <c r="D32" s="322">
        <f>IFERROR(IF(C32="","",FLOOR(C18/C7,1)&amp;" adet·"&amp;TEXT(FLOOR(C18/C7,1)*C32,"#,##0.0")&amp;" TL"),"")</f>
        <v/>
      </c>
      <c r="E32" s="211" t="n"/>
      <c r="F32" s="320">
        <f>IF(G13-7&lt;=0,"","SATIŞ "&amp;(G13-7))</f>
        <v/>
      </c>
      <c r="G32" s="321">
        <f>IFERROR(IF((G13-7)&lt;=0,"",IF(G7="","",IF(G7&lt;=0,"",IFERROR(ROUND(ROUND((G7*(1+G11)^(G13-7))/G14,0)*G14,2),"")))),"")</f>
        <v/>
      </c>
      <c r="H32" s="322">
        <f>IFERROR(IF(G32="","",FLOOR(G18/G7,1)&amp;" adet·"&amp;TEXT(FLOOR(G18/G7,1)*G32,"#,##0.0")&amp;" TL"),"")</f>
        <v/>
      </c>
      <c r="I32" s="211" t="n"/>
      <c r="J32" s="320">
        <f>IF(K13-7&lt;=0,"","SATIŞ "&amp;(K13-7))</f>
        <v/>
      </c>
      <c r="K32" s="321">
        <f>IFERROR(IF((K13-7)&lt;=0,"",IF(K7="","",IF(K7&lt;=0,"",ROUND(K7+K11*(K13-7),4)))),"")</f>
        <v/>
      </c>
      <c r="L32" s="322">
        <f>IFERROR(IF(K32="","",ROUND(K18/K7,2)&amp;" adet·"&amp;TEXT(ROUND(K18/K7,2)*K32,"#,##0.00")&amp;" USDT"),"")</f>
        <v/>
      </c>
      <c r="M32" s="211" t="n"/>
      <c r="N32" s="320">
        <f>IF(O13-7&lt;=0,"","SATIŞ "&amp;(O13-7))</f>
        <v/>
      </c>
      <c r="O32" s="321">
        <f>IFERROR(IF((O13-7)&lt;=0,"",IF(O7="","",IF(O7&lt;=0,"",ROUND(O7*(1+O11)^(O13-7),4)))),"")</f>
        <v/>
      </c>
      <c r="P32" s="322">
        <f>IFERROR(IF(O32="","",ROUND(O18/O7,2)&amp;" adet·"&amp;TEXT(ROUND(O18/O7,2)*O32,"#,##0.00")&amp;" USDT"),"")</f>
        <v/>
      </c>
      <c r="S32" s="234" t="inlineStr">
        <is>
          <t>• Günlük/Haftalık/Aylık/Yıllık otomatik gelir</t>
        </is>
      </c>
    </row>
    <row r="33" ht="18" customHeight="1" s="207">
      <c r="B33" s="320">
        <f>IF(C13-8&lt;=0,"","SATIŞ "&amp;(C13-8))</f>
        <v/>
      </c>
      <c r="C33" s="321">
        <f>IFERROR(IF((C13-8)&lt;=0,"",IF(C7="","",IF(C7&lt;=0,"",IFERROR(ROUND(ROUND((C7+C11*(C13-8))/C14,0)*C14,2),"")))),"")</f>
        <v/>
      </c>
      <c r="D33" s="322">
        <f>IFERROR(IF(C33="","",FLOOR(C18/C7,1)&amp;" adet·"&amp;TEXT(FLOOR(C18/C7,1)*C33,"#,##0.0")&amp;" TL"),"")</f>
        <v/>
      </c>
      <c r="E33" s="211" t="n"/>
      <c r="F33" s="320">
        <f>IF(G13-8&lt;=0,"","SATIŞ "&amp;(G13-8))</f>
        <v/>
      </c>
      <c r="G33" s="321">
        <f>IFERROR(IF((G13-8)&lt;=0,"",IF(G7="","",IF(G7&lt;=0,"",IFERROR(ROUND(ROUND((G7*(1+G11)^(G13-8))/G14,0)*G14,2),"")))),"")</f>
        <v/>
      </c>
      <c r="H33" s="322">
        <f>IFERROR(IF(G33="","",FLOOR(G18/G7,1)&amp;" adet·"&amp;TEXT(FLOOR(G18/G7,1)*G33,"#,##0.0")&amp;" TL"),"")</f>
        <v/>
      </c>
      <c r="I33" s="211" t="n"/>
      <c r="J33" s="320">
        <f>IF(K13-8&lt;=0,"","SATIŞ "&amp;(K13-8))</f>
        <v/>
      </c>
      <c r="K33" s="321">
        <f>IFERROR(IF((K13-8)&lt;=0,"",IF(K7="","",IF(K7&lt;=0,"",ROUND(K7+K11*(K13-8),4)))),"")</f>
        <v/>
      </c>
      <c r="L33" s="322">
        <f>IFERROR(IF(K33="","",ROUND(K18/K7,2)&amp;" adet·"&amp;TEXT(ROUND(K18/K7,2)*K33,"#,##0.00")&amp;" USDT"),"")</f>
        <v/>
      </c>
      <c r="M33" s="211" t="n"/>
      <c r="N33" s="320">
        <f>IF(O13-8&lt;=0,"","SATIŞ "&amp;(O13-8))</f>
        <v/>
      </c>
      <c r="O33" s="321">
        <f>IFERROR(IF((O13-8)&lt;=0,"",IF(O7="","",IF(O7&lt;=0,"",ROUND(O7*(1+O11)^(O13-8),4)))),"")</f>
        <v/>
      </c>
      <c r="P33" s="322">
        <f>IFERROR(IF(O33="","",ROUND(O18/O7,2)&amp;" adet·"&amp;TEXT(ROUND(O18/O7,2)*O33,"#,##0.00")&amp;" USDT"),"")</f>
        <v/>
      </c>
      <c r="S33" s="234" t="inlineStr">
        <is>
          <t>⚠️ UYARI: Bunlar TAHMİNDİR!</t>
        </is>
      </c>
    </row>
    <row r="34" ht="18" customHeight="1" s="207">
      <c r="B34" s="320">
        <f>IF(C13-9&lt;=0,"","SATIŞ "&amp;(C13-9))</f>
        <v/>
      </c>
      <c r="C34" s="321">
        <f>IFERROR(IF((C13-9)&lt;=0,"",IF(C7="","",IF(C7&lt;=0,"",IFERROR(ROUND(ROUND((C7+C11*(C13-9))/C14,0)*C14,2),"")))),"")</f>
        <v/>
      </c>
      <c r="D34" s="322">
        <f>IFERROR(IF(C34="","",FLOOR(C18/C7,1)&amp;" adet·"&amp;TEXT(FLOOR(C18/C7,1)*C34,"#,##0.0")&amp;" TL"),"")</f>
        <v/>
      </c>
      <c r="E34" s="211" t="n"/>
      <c r="F34" s="320">
        <f>IF(G13-9&lt;=0,"","SATIŞ "&amp;(G13-9))</f>
        <v/>
      </c>
      <c r="G34" s="321">
        <f>IFERROR(IF((G13-9)&lt;=0,"",IF(G7="","",IF(G7&lt;=0,"",IFERROR(ROUND(ROUND((G7*(1+G11)^(G13-9))/G14,0)*G14,2),"")))),"")</f>
        <v/>
      </c>
      <c r="H34" s="322">
        <f>IFERROR(IF(G34="","",FLOOR(G18/G7,1)&amp;" adet·"&amp;TEXT(FLOOR(G18/G7,1)*G34,"#,##0.0")&amp;" TL"),"")</f>
        <v/>
      </c>
      <c r="I34" s="211" t="n"/>
      <c r="J34" s="320">
        <f>IF(K13-9&lt;=0,"","SATIŞ "&amp;(K13-9))</f>
        <v/>
      </c>
      <c r="K34" s="321">
        <f>IFERROR(IF((K13-9)&lt;=0,"",IF(K7="","",IF(K7&lt;=0,"",ROUND(K7+K11*(K13-9),4)))),"")</f>
        <v/>
      </c>
      <c r="L34" s="322">
        <f>IFERROR(IF(K34="","",ROUND(K18/K7,2)&amp;" adet·"&amp;TEXT(ROUND(K18/K7,2)*K34,"#,##0.00")&amp;" USDT"),"")</f>
        <v/>
      </c>
      <c r="M34" s="211" t="n"/>
      <c r="N34" s="320">
        <f>IF(O13-9&lt;=0,"","SATIŞ "&amp;(O13-9))</f>
        <v/>
      </c>
      <c r="O34" s="321">
        <f>IFERROR(IF((O13-9)&lt;=0,"",IF(O7="","",IF(O7&lt;=0,"",ROUND(O7*(1+O11)^(O13-9),4)))),"")</f>
        <v/>
      </c>
      <c r="P34" s="322">
        <f>IFERROR(IF(O34="","",ROUND(O18/O7,2)&amp;" adet·"&amp;TEXT(ROUND(O18/O7,2)*O34,"#,##0.00")&amp;" USDT"),"")</f>
        <v/>
      </c>
      <c r="S34" s="234" t="inlineStr">
        <is>
          <t>Gerçek piyasa farklı sonuç verebilir.</t>
        </is>
      </c>
    </row>
    <row r="35" ht="18" customHeight="1" s="207">
      <c r="B35" s="320">
        <f>IF(C13-10&lt;=0,"","SATIŞ "&amp;(C13-10))</f>
        <v/>
      </c>
      <c r="C35" s="321">
        <f>IFERROR(IF((C13-10)&lt;=0,"",IF(C7="","",IF(C7&lt;=0,"",IFERROR(ROUND(ROUND((C7+C11*(C13-10))/C14,0)*C14,2),"")))),"")</f>
        <v/>
      </c>
      <c r="D35" s="322">
        <f>IFERROR(IF(C35="","",FLOOR(C18/C7,1)&amp;" adet·"&amp;TEXT(FLOOR(C18/C7,1)*C35,"#,##0.0")&amp;" TL"),"")</f>
        <v/>
      </c>
      <c r="E35" s="211" t="n"/>
      <c r="F35" s="320">
        <f>IF(G13-10&lt;=0,"","SATIŞ "&amp;(G13-10))</f>
        <v/>
      </c>
      <c r="G35" s="321">
        <f>IFERROR(IF((G13-10)&lt;=0,"",IF(G7="","",IF(G7&lt;=0,"",IFERROR(ROUND(ROUND((G7*(1+G11)^(G13-10))/G14,0)*G14,2),"")))),"")</f>
        <v/>
      </c>
      <c r="H35" s="322">
        <f>IFERROR(IF(G35="","",FLOOR(G18/G7,1)&amp;" adet·"&amp;TEXT(FLOOR(G18/G7,1)*G35,"#,##0.0")&amp;" TL"),"")</f>
        <v/>
      </c>
      <c r="I35" s="211" t="n"/>
      <c r="J35" s="320">
        <f>IF(K13-10&lt;=0,"","SATIŞ "&amp;(K13-10))</f>
        <v/>
      </c>
      <c r="K35" s="321">
        <f>IFERROR(IF((K13-10)&lt;=0,"",IF(K7="","",IF(K7&lt;=0,"",ROUND(K7+K11*(K13-10),4)))),"")</f>
        <v/>
      </c>
      <c r="L35" s="322">
        <f>IFERROR(IF(K35="","",ROUND(K18/K7,2)&amp;" adet·"&amp;TEXT(ROUND(K18/K7,2)*K35,"#,##0.00")&amp;" USDT"),"")</f>
        <v/>
      </c>
      <c r="M35" s="211" t="n"/>
      <c r="N35" s="320">
        <f>IF(O13-10&lt;=0,"","SATIŞ "&amp;(O13-10))</f>
        <v/>
      </c>
      <c r="O35" s="321">
        <f>IFERROR(IF((O13-10)&lt;=0,"",IF(O7="","",IF(O7&lt;=0,"",ROUND(O7*(1+O11)^(O13-10),4)))),"")</f>
        <v/>
      </c>
      <c r="P35" s="322">
        <f>IFERROR(IF(O35="","",ROUND(O18/O7,2)&amp;" adet·"&amp;TEXT(ROUND(O18/O7,2)*O35,"#,##0.00")&amp;" USDT"),"")</f>
        <v/>
      </c>
      <c r="S35" s="255" t="n"/>
    </row>
    <row r="36" ht="18" customHeight="1" s="207">
      <c r="B36" s="320">
        <f>IF(C13-11&lt;=0,"","SATIŞ "&amp;(C13-11))</f>
        <v/>
      </c>
      <c r="C36" s="321">
        <f>IFERROR(IF((C13-11)&lt;=0,"",IF(C7="","",IF(C7&lt;=0,"",IFERROR(ROUND(ROUND((C7+C11*(C13-11))/C14,0)*C14,2),"")))),"")</f>
        <v/>
      </c>
      <c r="D36" s="322">
        <f>IFERROR(IF(C36="","",FLOOR(C18/C7,1)&amp;" adet·"&amp;TEXT(FLOOR(C18/C7,1)*C36,"#,##0.0")&amp;" TL"),"")</f>
        <v/>
      </c>
      <c r="E36" s="211" t="n"/>
      <c r="F36" s="320">
        <f>IF(G13-11&lt;=0,"","SATIŞ "&amp;(G13-11))</f>
        <v/>
      </c>
      <c r="G36" s="321">
        <f>IFERROR(IF((G13-11)&lt;=0,"",IF(G7="","",IF(G7&lt;=0,"",IFERROR(ROUND(ROUND((G7*(1+G11)^(G13-11))/G14,0)*G14,2),"")))),"")</f>
        <v/>
      </c>
      <c r="H36" s="322">
        <f>IFERROR(IF(G36="","",FLOOR(G18/G7,1)&amp;" adet·"&amp;TEXT(FLOOR(G18/G7,1)*G36,"#,##0.0")&amp;" TL"),"")</f>
        <v/>
      </c>
      <c r="I36" s="211" t="n"/>
      <c r="J36" s="320">
        <f>IF(K13-11&lt;=0,"","SATIŞ "&amp;(K13-11))</f>
        <v/>
      </c>
      <c r="K36" s="321">
        <f>IFERROR(IF((K13-11)&lt;=0,"",IF(K7="","",IF(K7&lt;=0,"",ROUND(K7+K11*(K13-11),4)))),"")</f>
        <v/>
      </c>
      <c r="L36" s="322">
        <f>IFERROR(IF(K36="","",ROUND(K18/K7,2)&amp;" adet·"&amp;TEXT(ROUND(K18/K7,2)*K36,"#,##0.00")&amp;" USDT"),"")</f>
        <v/>
      </c>
      <c r="M36" s="211" t="n"/>
      <c r="N36" s="320">
        <f>IF(O13-11&lt;=0,"","SATIŞ "&amp;(O13-11))</f>
        <v/>
      </c>
      <c r="O36" s="321">
        <f>IFERROR(IF((O13-11)&lt;=0,"",IF(O7="","",IF(O7&lt;=0,"",ROUND(O7*(1+O11)^(O13-11),4)))),"")</f>
        <v/>
      </c>
      <c r="P36" s="322">
        <f>IFERROR(IF(O36="","",ROUND(O18/O7,2)&amp;" adet·"&amp;TEXT(ROUND(O18/O7,2)*O36,"#,##0.00")&amp;" USDT"),"")</f>
        <v/>
      </c>
      <c r="S36" s="323" t="inlineStr">
        <is>
          <t>💡 ALTIN İPUÇLARI</t>
        </is>
      </c>
    </row>
    <row r="37" ht="18" customHeight="1" s="207">
      <c r="B37" s="320">
        <f>IF(C13-12&lt;=0,"","SATIŞ "&amp;(C13-12))</f>
        <v/>
      </c>
      <c r="C37" s="321">
        <f>IFERROR(IF((C13-12)&lt;=0,"",IF(C7="","",IF(C7&lt;=0,"",IFERROR(ROUND(ROUND((C7+C11*(C13-12))/C14,0)*C14,2),"")))),"")</f>
        <v/>
      </c>
      <c r="D37" s="322">
        <f>IFERROR(IF(C37="","",FLOOR(C18/C7,1)&amp;" adet·"&amp;TEXT(FLOOR(C18/C7,1)*C37,"#,##0.0")&amp;" TL"),"")</f>
        <v/>
      </c>
      <c r="E37" s="211" t="n"/>
      <c r="F37" s="320">
        <f>IF(G13-12&lt;=0,"","SATIŞ "&amp;(G13-12))</f>
        <v/>
      </c>
      <c r="G37" s="321">
        <f>IFERROR(IF((G13-12)&lt;=0,"",IF(G7="","",IF(G7&lt;=0,"",IFERROR(ROUND(ROUND((G7*(1+G11)^(G13-12))/G14,0)*G14,2),"")))),"")</f>
        <v/>
      </c>
      <c r="H37" s="322">
        <f>IFERROR(IF(G37="","",FLOOR(G18/G7,1)&amp;" adet·"&amp;TEXT(FLOOR(G18/G7,1)*G37,"#,##0.0")&amp;" TL"),"")</f>
        <v/>
      </c>
      <c r="I37" s="211" t="n"/>
      <c r="J37" s="320">
        <f>IF(K13-12&lt;=0,"","SATIŞ "&amp;(K13-12))</f>
        <v/>
      </c>
      <c r="K37" s="321">
        <f>IFERROR(IF((K13-12)&lt;=0,"",IF(K7="","",IF(K7&lt;=0,"",ROUND(K7+K11*(K13-12),4)))),"")</f>
        <v/>
      </c>
      <c r="L37" s="322">
        <f>IFERROR(IF(K37="","",ROUND(K18/K7,2)&amp;" adet·"&amp;TEXT(ROUND(K18/K7,2)*K37,"#,##0.00")&amp;" USDT"),"")</f>
        <v/>
      </c>
      <c r="M37" s="211" t="n"/>
      <c r="N37" s="320">
        <f>IF(O13-12&lt;=0,"","SATIŞ "&amp;(O13-12))</f>
        <v/>
      </c>
      <c r="O37" s="321">
        <f>IFERROR(IF((O13-12)&lt;=0,"",IF(O7="","",IF(O7&lt;=0,"",ROUND(O7*(1+O11)^(O13-12),4)))),"")</f>
        <v/>
      </c>
      <c r="P37" s="322">
        <f>IFERROR(IF(O37="","",ROUND(O18/O7,2)&amp;" adet·"&amp;TEXT(ROUND(O18/O7,2)*O37,"#,##0.00")&amp;" USDT"),"")</f>
        <v/>
      </c>
      <c r="S37" s="234" t="inlineStr">
        <is>
          <t>✔ Adım &gt; komisyon × 2 olsun</t>
        </is>
      </c>
    </row>
    <row r="38" ht="18" customHeight="1" s="207">
      <c r="B38" s="320">
        <f>IF(C13-13&lt;=0,"","SATIŞ "&amp;(C13-13))</f>
        <v/>
      </c>
      <c r="C38" s="321">
        <f>IFERROR(IF((C13-13)&lt;=0,"",IF(C7="","",IF(C7&lt;=0,"",IFERROR(ROUND(ROUND((C7+C11*(C13-13))/C14,0)*C14,2),"")))),"")</f>
        <v/>
      </c>
      <c r="D38" s="322">
        <f>IFERROR(IF(C38="","",FLOOR(C18/C7,1)&amp;" adet·"&amp;TEXT(FLOOR(C18/C7,1)*C38,"#,##0.0")&amp;" TL"),"")</f>
        <v/>
      </c>
      <c r="E38" s="211" t="n"/>
      <c r="F38" s="320">
        <f>IF(G13-13&lt;=0,"","SATIŞ "&amp;(G13-13))</f>
        <v/>
      </c>
      <c r="G38" s="321">
        <f>IFERROR(IF((G13-13)&lt;=0,"",IF(G7="","",IF(G7&lt;=0,"",IFERROR(ROUND(ROUND((G7*(1+G11)^(G13-13))/G14,0)*G14,2),"")))),"")</f>
        <v/>
      </c>
      <c r="H38" s="322">
        <f>IFERROR(IF(G38="","",FLOOR(G18/G7,1)&amp;" adet·"&amp;TEXT(FLOOR(G18/G7,1)*G38,"#,##0.0")&amp;" TL"),"")</f>
        <v/>
      </c>
      <c r="I38" s="211" t="n"/>
      <c r="J38" s="320">
        <f>IF(K13-13&lt;=0,"","SATIŞ "&amp;(K13-13))</f>
        <v/>
      </c>
      <c r="K38" s="321">
        <f>IFERROR(IF((K13-13)&lt;=0,"",IF(K7="","",IF(K7&lt;=0,"",ROUND(K7+K11*(K13-13),4)))),"")</f>
        <v/>
      </c>
      <c r="L38" s="322">
        <f>IFERROR(IF(K38="","",ROUND(K18/K7,2)&amp;" adet·"&amp;TEXT(ROUND(K18/K7,2)*K38,"#,##0.00")&amp;" USDT"),"")</f>
        <v/>
      </c>
      <c r="M38" s="211" t="n"/>
      <c r="N38" s="320">
        <f>IF(O13-13&lt;=0,"","SATIŞ "&amp;(O13-13))</f>
        <v/>
      </c>
      <c r="O38" s="321">
        <f>IFERROR(IF((O13-13)&lt;=0,"",IF(O7="","",IF(O7&lt;=0,"",ROUND(O7*(1+O11)^(O13-13),4)))),"")</f>
        <v/>
      </c>
      <c r="P38" s="322">
        <f>IFERROR(IF(O38="","",ROUND(O18/O7,2)&amp;" adet·"&amp;TEXT(ROUND(O18/O7,2)*O38,"#,##0.00")&amp;" USDT"),"")</f>
        <v/>
      </c>
      <c r="S38" s="234" t="inlineStr">
        <is>
          <t>✔ Stop-Loss seviyesini platforma gir</t>
        </is>
      </c>
    </row>
    <row r="39" ht="18" customHeight="1" s="207">
      <c r="B39" s="320">
        <f>IF(C13-14&lt;=0,"","SATIŞ "&amp;(C13-14))</f>
        <v/>
      </c>
      <c r="C39" s="321">
        <f>IFERROR(IF((C13-14)&lt;=0,"",IF(C7="","",IF(C7&lt;=0,"",IFERROR(ROUND(ROUND((C7+C11*(C13-14))/C14,0)*C14,2),"")))),"")</f>
        <v/>
      </c>
      <c r="D39" s="322">
        <f>IFERROR(IF(C39="","",FLOOR(C18/C7,1)&amp;" adet·"&amp;TEXT(FLOOR(C18/C7,1)*C39,"#,##0.0")&amp;" TL"),"")</f>
        <v/>
      </c>
      <c r="E39" s="211" t="n"/>
      <c r="F39" s="320">
        <f>IF(G13-14&lt;=0,"","SATIŞ "&amp;(G13-14))</f>
        <v/>
      </c>
      <c r="G39" s="321">
        <f>IFERROR(IF((G13-14)&lt;=0,"",IF(G7="","",IF(G7&lt;=0,"",IFERROR(ROUND(ROUND((G7*(1+G11)^(G13-14))/G14,0)*G14,2),"")))),"")</f>
        <v/>
      </c>
      <c r="H39" s="322">
        <f>IFERROR(IF(G39="","",FLOOR(G18/G7,1)&amp;" adet·"&amp;TEXT(FLOOR(G18/G7,1)*G39,"#,##0.0")&amp;" TL"),"")</f>
        <v/>
      </c>
      <c r="I39" s="211" t="n"/>
      <c r="J39" s="320">
        <f>IF(K13-14&lt;=0,"","SATIŞ "&amp;(K13-14))</f>
        <v/>
      </c>
      <c r="K39" s="321">
        <f>IFERROR(IF((K13-14)&lt;=0,"",IF(K7="","",IF(K7&lt;=0,"",ROUND(K7+K11*(K13-14),4)))),"")</f>
        <v/>
      </c>
      <c r="L39" s="322">
        <f>IFERROR(IF(K39="","",ROUND(K18/K7,2)&amp;" adet·"&amp;TEXT(ROUND(K18/K7,2)*K39,"#,##0.00")&amp;" USDT"),"")</f>
        <v/>
      </c>
      <c r="M39" s="211" t="n"/>
      <c r="N39" s="320">
        <f>IF(O13-14&lt;=0,"","SATIŞ "&amp;(O13-14))</f>
        <v/>
      </c>
      <c r="O39" s="321">
        <f>IFERROR(IF((O13-14)&lt;=0,"",IF(O7="","",IF(O7&lt;=0,"",ROUND(O7*(1+O11)^(O13-14),4)))),"")</f>
        <v/>
      </c>
      <c r="P39" s="322">
        <f>IFERROR(IF(O39="","",ROUND(O18/O7,2)&amp;" adet·"&amp;TEXT(ROUND(O18/O7,2)*O39,"#,##0.00")&amp;" USDT"),"")</f>
        <v/>
      </c>
      <c r="S39" s="234" t="inlineStr">
        <is>
          <t>✔ Fiyat aralık dışına çıkınca botu sıfırla</t>
        </is>
      </c>
    </row>
    <row r="40" ht="18" customHeight="1" s="207">
      <c r="B40" s="320">
        <f>IF(C13-15&lt;=0,"","SATIŞ "&amp;(C13-15))</f>
        <v/>
      </c>
      <c r="C40" s="321">
        <f>IFERROR(IF((C13-15)&lt;=0,"",IF(C7="","",IF(C7&lt;=0,"",IFERROR(ROUND(ROUND((C7+C11*(C13-15))/C14,0)*C14,2),"")))),"")</f>
        <v/>
      </c>
      <c r="D40" s="322">
        <f>IFERROR(IF(C40="","",FLOOR(C18/C7,1)&amp;" adet·"&amp;TEXT(FLOOR(C18/C7,1)*C40,"#,##0.0")&amp;" TL"),"")</f>
        <v/>
      </c>
      <c r="E40" s="211" t="n"/>
      <c r="F40" s="320">
        <f>IF(G13-15&lt;=0,"","SATIŞ "&amp;(G13-15))</f>
        <v/>
      </c>
      <c r="G40" s="321">
        <f>IFERROR(IF((G13-15)&lt;=0,"",IF(G7="","",IF(G7&lt;=0,"",IFERROR(ROUND(ROUND((G7*(1+G11)^(G13-15))/G14,0)*G14,2),"")))),"")</f>
        <v/>
      </c>
      <c r="H40" s="322">
        <f>IFERROR(IF(G40="","",FLOOR(G18/G7,1)&amp;" adet·"&amp;TEXT(FLOOR(G18/G7,1)*G40,"#,##0.0")&amp;" TL"),"")</f>
        <v/>
      </c>
      <c r="I40" s="211" t="n"/>
      <c r="J40" s="320">
        <f>IF(K13-15&lt;=0,"","SATIŞ "&amp;(K13-15))</f>
        <v/>
      </c>
      <c r="K40" s="321">
        <f>IFERROR(IF((K13-15)&lt;=0,"",IF(K7="","",IF(K7&lt;=0,"",ROUND(K7+K11*(K13-15),4)))),"")</f>
        <v/>
      </c>
      <c r="L40" s="322">
        <f>IFERROR(IF(K40="","",ROUND(K18/K7,2)&amp;" adet·"&amp;TEXT(ROUND(K18/K7,2)*K40,"#,##0.00")&amp;" USDT"),"")</f>
        <v/>
      </c>
      <c r="M40" s="211" t="n"/>
      <c r="N40" s="320">
        <f>IF(O13-15&lt;=0,"","SATIŞ "&amp;(O13-15))</f>
        <v/>
      </c>
      <c r="O40" s="321">
        <f>IFERROR(IF((O13-15)&lt;=0,"",IF(O7="","",IF(O7&lt;=0,"",ROUND(O7*(1+O11)^(O13-15),4)))),"")</f>
        <v/>
      </c>
      <c r="P40" s="322">
        <f>IFERROR(IF(O40="","",ROUND(O18/O7,2)&amp;" adet·"&amp;TEXT(ROUND(O18/O7,2)*O40,"#,##0.00")&amp;" USDT"),"")</f>
        <v/>
      </c>
      <c r="S40" s="234" t="inlineStr">
        <is>
          <t>✔ Grid başı tutar eşit olsun (dengeli risk)</t>
        </is>
      </c>
    </row>
    <row r="41" ht="18" customHeight="1" s="207">
      <c r="B41" s="320">
        <f>IF(C13-16&lt;=0,"","SATIŞ "&amp;(C13-16))</f>
        <v/>
      </c>
      <c r="C41" s="321">
        <f>IFERROR(IF((C13-16)&lt;=0,"",IF(C7="","",IF(C7&lt;=0,"",IFERROR(ROUND(ROUND((C7+C11*(C13-16))/C14,0)*C14,2),"")))),"")</f>
        <v/>
      </c>
      <c r="D41" s="322">
        <f>IFERROR(IF(C41="","",FLOOR(C18/C7,1)&amp;" adet·"&amp;TEXT(FLOOR(C18/C7,1)*C41,"#,##0.0")&amp;" TL"),"")</f>
        <v/>
      </c>
      <c r="E41" s="211" t="n"/>
      <c r="F41" s="320">
        <f>IF(G13-16&lt;=0,"","SATIŞ "&amp;(G13-16))</f>
        <v/>
      </c>
      <c r="G41" s="321">
        <f>IFERROR(IF((G13-16)&lt;=0,"",IF(G7="","",IF(G7&lt;=0,"",IFERROR(ROUND(ROUND((G7*(1+G11)^(G13-16))/G14,0)*G14,2),"")))),"")</f>
        <v/>
      </c>
      <c r="H41" s="322">
        <f>IFERROR(IF(G41="","",FLOOR(G18/G7,1)&amp;" adet·"&amp;TEXT(FLOOR(G18/G7,1)*G41,"#,##0.0")&amp;" TL"),"")</f>
        <v/>
      </c>
      <c r="I41" s="211" t="n"/>
      <c r="J41" s="320">
        <f>IF(K13-16&lt;=0,"","SATIŞ "&amp;(K13-16))</f>
        <v/>
      </c>
      <c r="K41" s="321">
        <f>IFERROR(IF((K13-16)&lt;=0,"",IF(K7="","",IF(K7&lt;=0,"",ROUND(K7+K11*(K13-16),4)))),"")</f>
        <v/>
      </c>
      <c r="L41" s="322">
        <f>IFERROR(IF(K41="","",ROUND(K18/K7,2)&amp;" adet·"&amp;TEXT(ROUND(K18/K7,2)*K41,"#,##0.00")&amp;" USDT"),"")</f>
        <v/>
      </c>
      <c r="M41" s="211" t="n"/>
      <c r="N41" s="320">
        <f>IF(O13-16&lt;=0,"","SATIŞ "&amp;(O13-16))</f>
        <v/>
      </c>
      <c r="O41" s="321">
        <f>IFERROR(IF((O13-16)&lt;=0,"",IF(O7="","",IF(O7&lt;=0,"",ROUND(O7*(1+O11)^(O13-16),4)))),"")</f>
        <v/>
      </c>
      <c r="P41" s="322">
        <f>IFERROR(IF(O41="","",ROUND(O18/O7,2)&amp;" adet·"&amp;TEXT(ROUND(O18/O7,2)*O41,"#,##0.00")&amp;" USDT"),"")</f>
        <v/>
      </c>
      <c r="S41" s="234" t="inlineStr">
        <is>
          <t>✘ Tüm sermayeyi tek bota koyma!</t>
        </is>
      </c>
    </row>
    <row r="42" ht="18" customHeight="1" s="207">
      <c r="B42" s="320">
        <f>IF(C13-17&lt;=0,"","SATIŞ "&amp;(C13-17))</f>
        <v/>
      </c>
      <c r="C42" s="321">
        <f>IFERROR(IF((C13-17)&lt;=0,"",IF(C7="","",IF(C7&lt;=0,"",IFERROR(ROUND(ROUND((C7+C11*(C13-17))/C14,0)*C14,2),"")))),"")</f>
        <v/>
      </c>
      <c r="D42" s="322">
        <f>IFERROR(IF(C42="","",FLOOR(C18/C7,1)&amp;" adet·"&amp;TEXT(FLOOR(C18/C7,1)*C42,"#,##0.0")&amp;" TL"),"")</f>
        <v/>
      </c>
      <c r="E42" s="211" t="n"/>
      <c r="F42" s="320">
        <f>IF(G13-17&lt;=0,"","SATIŞ "&amp;(G13-17))</f>
        <v/>
      </c>
      <c r="G42" s="321">
        <f>IFERROR(IF((G13-17)&lt;=0,"",IF(G7="","",IF(G7&lt;=0,"",IFERROR(ROUND(ROUND((G7*(1+G11)^(G13-17))/G14,0)*G14,2),"")))),"")</f>
        <v/>
      </c>
      <c r="H42" s="322">
        <f>IFERROR(IF(G42="","",FLOOR(G18/G7,1)&amp;" adet·"&amp;TEXT(FLOOR(G18/G7,1)*G42,"#,##0.0")&amp;" TL"),"")</f>
        <v/>
      </c>
      <c r="I42" s="211" t="n"/>
      <c r="J42" s="320">
        <f>IF(K13-17&lt;=0,"","SATIŞ "&amp;(K13-17))</f>
        <v/>
      </c>
      <c r="K42" s="321">
        <f>IFERROR(IF((K13-17)&lt;=0,"",IF(K7="","",IF(K7&lt;=0,"",ROUND(K7+K11*(K13-17),4)))),"")</f>
        <v/>
      </c>
      <c r="L42" s="322">
        <f>IFERROR(IF(K42="","",ROUND(K18/K7,2)&amp;" adet·"&amp;TEXT(ROUND(K18/K7,2)*K42,"#,##0.00")&amp;" USDT"),"")</f>
        <v/>
      </c>
      <c r="M42" s="211" t="n"/>
      <c r="N42" s="320">
        <f>IF(O13-17&lt;=0,"","SATIŞ "&amp;(O13-17))</f>
        <v/>
      </c>
      <c r="O42" s="321">
        <f>IFERROR(IF((O13-17)&lt;=0,"",IF(O7="","",IF(O7&lt;=0,"",ROUND(O7*(1+O11)^(O13-17),4)))),"")</f>
        <v/>
      </c>
      <c r="P42" s="322">
        <f>IFERROR(IF(O42="","",ROUND(O18/O7,2)&amp;" adet·"&amp;TEXT(ROUND(O18/O7,2)*O42,"#,##0.00")&amp;" USDT"),"")</f>
        <v/>
      </c>
      <c r="S42" s="234" t="inlineStr">
        <is>
          <t>✘ Trend piyasada grid açma</t>
        </is>
      </c>
    </row>
    <row r="43" ht="18" customHeight="1" s="207">
      <c r="B43" s="320">
        <f>IF(C13-18&lt;=0,"","SATIŞ "&amp;(C13-18))</f>
        <v/>
      </c>
      <c r="C43" s="321">
        <f>IFERROR(IF((C13-18)&lt;=0,"",IF(C7="","",IF(C7&lt;=0,"",IFERROR(ROUND(ROUND((C7+C11*(C13-18))/C14,0)*C14,2),"")))),"")</f>
        <v/>
      </c>
      <c r="D43" s="322">
        <f>IFERROR(IF(C43="","",FLOOR(C18/C7,1)&amp;" adet·"&amp;TEXT(FLOOR(C18/C7,1)*C43,"#,##0.0")&amp;" TL"),"")</f>
        <v/>
      </c>
      <c r="E43" s="211" t="n"/>
      <c r="F43" s="320">
        <f>IF(G13-18&lt;=0,"","SATIŞ "&amp;(G13-18))</f>
        <v/>
      </c>
      <c r="G43" s="321">
        <f>IFERROR(IF((G13-18)&lt;=0,"",IF(G7="","",IF(G7&lt;=0,"",IFERROR(ROUND(ROUND((G7*(1+G11)^(G13-18))/G14,0)*G14,2),"")))),"")</f>
        <v/>
      </c>
      <c r="H43" s="322">
        <f>IFERROR(IF(G43="","",FLOOR(G18/G7,1)&amp;" adet·"&amp;TEXT(FLOOR(G18/G7,1)*G43,"#,##0.0")&amp;" TL"),"")</f>
        <v/>
      </c>
      <c r="I43" s="211" t="n"/>
      <c r="J43" s="320">
        <f>IF(K13-18&lt;=0,"","SATIŞ "&amp;(K13-18))</f>
        <v/>
      </c>
      <c r="K43" s="321">
        <f>IFERROR(IF((K13-18)&lt;=0,"",IF(K7="","",IF(K7&lt;=0,"",ROUND(K7+K11*(K13-18),4)))),"")</f>
        <v/>
      </c>
      <c r="L43" s="322">
        <f>IFERROR(IF(K43="","",ROUND(K18/K7,2)&amp;" adet·"&amp;TEXT(ROUND(K18/K7,2)*K43,"#,##0.00")&amp;" USDT"),"")</f>
        <v/>
      </c>
      <c r="M43" s="211" t="n"/>
      <c r="N43" s="320">
        <f>IF(O13-18&lt;=0,"","SATIŞ "&amp;(O13-18))</f>
        <v/>
      </c>
      <c r="O43" s="321">
        <f>IFERROR(IF((O13-18)&lt;=0,"",IF(O7="","",IF(O7&lt;=0,"",ROUND(O7*(1+O11)^(O13-18),4)))),"")</f>
        <v/>
      </c>
      <c r="P43" s="322">
        <f>IFERROR(IF(O43="","",ROUND(O18/O7,2)&amp;" adet·"&amp;TEXT(ROUND(O18/O7,2)*O43,"#,##0.00")&amp;" USDT"),"")</f>
        <v/>
      </c>
      <c r="S43" s="255" t="n"/>
    </row>
    <row r="44" ht="18" customHeight="1" s="207">
      <c r="B44" s="320">
        <f>IF(C13-19&lt;=0,"","SATIŞ "&amp;(C13-19))</f>
        <v/>
      </c>
      <c r="C44" s="321">
        <f>IFERROR(IF((C13-19)&lt;=0,"",IF(C7="","",IF(C7&lt;=0,"",IFERROR(ROUND(ROUND((C7+C11*(C13-19))/C14,0)*C14,2),"")))),"")</f>
        <v/>
      </c>
      <c r="D44" s="322">
        <f>IFERROR(IF(C44="","",FLOOR(C18/C7,1)&amp;" adet·"&amp;TEXT(FLOOR(C18/C7,1)*C44,"#,##0.0")&amp;" TL"),"")</f>
        <v/>
      </c>
      <c r="E44" s="211" t="n"/>
      <c r="F44" s="320">
        <f>IF(G13-19&lt;=0,"","SATIŞ "&amp;(G13-19))</f>
        <v/>
      </c>
      <c r="G44" s="321">
        <f>IFERROR(IF((G13-19)&lt;=0,"",IF(G7="","",IF(G7&lt;=0,"",IFERROR(ROUND(ROUND((G7*(1+G11)^(G13-19))/G14,0)*G14,2),"")))),"")</f>
        <v/>
      </c>
      <c r="H44" s="322">
        <f>IFERROR(IF(G44="","",FLOOR(G18/G7,1)&amp;" adet·"&amp;TEXT(FLOOR(G18/G7,1)*G44,"#,##0.0")&amp;" TL"),"")</f>
        <v/>
      </c>
      <c r="I44" s="211" t="n"/>
      <c r="J44" s="320">
        <f>IF(K13-19&lt;=0,"","SATIŞ "&amp;(K13-19))</f>
        <v/>
      </c>
      <c r="K44" s="321">
        <f>IFERROR(IF((K13-19)&lt;=0,"",IF(K7="","",IF(K7&lt;=0,"",ROUND(K7+K11*(K13-19),4)))),"")</f>
        <v/>
      </c>
      <c r="L44" s="322">
        <f>IFERROR(IF(K44="","",ROUND(K18/K7,2)&amp;" adet·"&amp;TEXT(ROUND(K18/K7,2)*K44,"#,##0.00")&amp;" USDT"),"")</f>
        <v/>
      </c>
      <c r="M44" s="211" t="n"/>
      <c r="N44" s="320">
        <f>IF(O13-19&lt;=0,"","SATIŞ "&amp;(O13-19))</f>
        <v/>
      </c>
      <c r="O44" s="321">
        <f>IFERROR(IF((O13-19)&lt;=0,"",IF(O7="","",IF(O7&lt;=0,"",ROUND(O7*(1+O11)^(O13-19),4)))),"")</f>
        <v/>
      </c>
      <c r="P44" s="322">
        <f>IFERROR(IF(O44="","",ROUND(O18/O7,2)&amp;" adet·"&amp;TEXT(ROUND(O18/O7,2)*O44,"#,##0.00")&amp;" USDT"),"")</f>
        <v/>
      </c>
    </row>
    <row r="45" ht="25.5" customHeight="1" s="207">
      <c r="B45" s="324">
        <f>IFERROR("📍 "&amp;C6&amp;"  "&amp;TEXT(C7,"#,##0.##")&amp;" TL","Fiyat girin")</f>
        <v/>
      </c>
      <c r="C45" s="325" t="n"/>
      <c r="D45" s="326" t="n"/>
      <c r="E45" s="211" t="n"/>
      <c r="F45" s="324">
        <f>IFERROR("📍 "&amp;G6&amp;"  "&amp;TEXT(G7,"#,##0.##")&amp;" TL","Fiyat girin")</f>
        <v/>
      </c>
      <c r="G45" s="325" t="n"/>
      <c r="H45" s="326" t="n"/>
      <c r="I45" s="211" t="n"/>
      <c r="J45" s="324">
        <f>IFERROR("📍 "&amp;K6&amp;"  "&amp;TEXT(K7,"#,##0.##")&amp;" USDT","Fiyat girin")</f>
        <v/>
      </c>
      <c r="K45" s="325" t="n"/>
      <c r="L45" s="326" t="n"/>
      <c r="M45" s="211" t="n"/>
      <c r="N45" s="324">
        <f>IFERROR("📍 "&amp;O6&amp;"  "&amp;TEXT(O7,"#,##0.##")&amp;" USDT","Fiyat girin")</f>
        <v/>
      </c>
      <c r="O45" s="325" t="n"/>
      <c r="P45" s="326" t="n"/>
    </row>
    <row r="46" ht="18" customHeight="1" s="207">
      <c r="B46" s="327">
        <f>IF(1&gt;C12,"","ALIŞ 1")</f>
        <v/>
      </c>
      <c r="C46" s="328">
        <f>IFERROR(IF(1&gt;(C12),"",IF(C7="","",IF(C7&lt;=0,"",IFERROR(ROUND(ROUND((C7-C11*1)/C14,0)*C14,2),"")))),"")</f>
        <v/>
      </c>
      <c r="D46" s="329">
        <f>IFERROR(IF(C46="","",FLOOR(C18/C7,1)&amp;" adet·"&amp;TEXT(FLOOR(C18/C7,1)*C46,"#,##0.0")&amp;" TL"),"")</f>
        <v/>
      </c>
      <c r="E46" s="211" t="n"/>
      <c r="F46" s="330">
        <f>IF(1&gt;G12,"","ALIŞ 1")</f>
        <v/>
      </c>
      <c r="G46" s="331">
        <f>IFERROR(IF(1&gt;(G12),"",IF(G7="","",IF(G7&lt;=0,"",IFERROR(ROUND(ROUND((G7/(1+G11)^1)/G14,0)*G14,2),"")))),"")</f>
        <v/>
      </c>
      <c r="H46" s="332">
        <f>IFERROR(IF(G46="","",FLOOR(G18/G7,1)&amp;" adet·"&amp;TEXT(FLOOR(G18/G7,1)*G46,"#,##0.0")&amp;" TL"),"")</f>
        <v/>
      </c>
      <c r="I46" s="211" t="n"/>
      <c r="J46" s="333">
        <f>IF(1&gt;K12,"","ALIŞ 1")</f>
        <v/>
      </c>
      <c r="K46" s="334">
        <f>IFERROR(IF(1&gt;(K12),"",IF(K7="","",IF(K7&lt;=0,"",ROUND(K7-K11*1,4)))),"")</f>
        <v/>
      </c>
      <c r="L46" s="335">
        <f>IFERROR(IF(K46="","",ROUND(K18/K7,2)&amp;" adet·"&amp;TEXT(ROUND(K18/K7,2)*K46,"#,##0.00")&amp;" USDT"),"")</f>
        <v/>
      </c>
      <c r="M46" s="211" t="n"/>
      <c r="N46" s="336">
        <f>IF(1&gt;O12,"","ALIŞ 1")</f>
        <v/>
      </c>
      <c r="O46" s="337">
        <f>IFERROR(IF(1&gt;(O12),"",IF(O7="","",IF(O7&lt;=0,"",ROUND(O7/(1+O11)^1,4)))),"")</f>
        <v/>
      </c>
      <c r="P46" s="338">
        <f>IFERROR(IF(O46="","",ROUND(O18/O7,2)&amp;" adet·"&amp;TEXT(ROUND(O18/O7,2)*O46,"#,##0.00")&amp;" USDT"),"")</f>
        <v/>
      </c>
    </row>
    <row r="47" ht="18" customHeight="1" s="207">
      <c r="B47" s="327">
        <f>IF(2&gt;C12,"","ALIŞ 2")</f>
        <v/>
      </c>
      <c r="C47" s="328">
        <f>IFERROR(IF(2&gt;(C12),"",IF(C7="","",IF(C7&lt;=0,"",IFERROR(ROUND(ROUND((C7-C11*2)/C14,0)*C14,2),"")))),"")</f>
        <v/>
      </c>
      <c r="D47" s="329">
        <f>IFERROR(IF(C47="","",FLOOR(C18/C7,1)&amp;" adet·"&amp;TEXT(FLOOR(C18/C7,1)*C47,"#,##0.0")&amp;" TL"),"")</f>
        <v/>
      </c>
      <c r="E47" s="211" t="n"/>
      <c r="F47" s="330">
        <f>IF(2&gt;G12,"","ALIŞ 2")</f>
        <v/>
      </c>
      <c r="G47" s="331">
        <f>IFERROR(IF(2&gt;(G12),"",IF(G7="","",IF(G7&lt;=0,"",IFERROR(ROUND(ROUND((G7/(1+G11)^2)/G14,0)*G14,2),"")))),"")</f>
        <v/>
      </c>
      <c r="H47" s="332">
        <f>IFERROR(IF(G47="","",FLOOR(G18/G7,1)&amp;" adet·"&amp;TEXT(FLOOR(G18/G7,1)*G47,"#,##0.0")&amp;" TL"),"")</f>
        <v/>
      </c>
      <c r="I47" s="211" t="n"/>
      <c r="J47" s="333">
        <f>IF(2&gt;K12,"","ALIŞ 2")</f>
        <v/>
      </c>
      <c r="K47" s="334">
        <f>IFERROR(IF(2&gt;(K12),"",IF(K7="","",IF(K7&lt;=0,"",ROUND(K7-K11*2,4)))),"")</f>
        <v/>
      </c>
      <c r="L47" s="335">
        <f>IFERROR(IF(K47="","",ROUND(K18/K7,2)&amp;" adet·"&amp;TEXT(ROUND(K18/K7,2)*K47,"#,##0.00")&amp;" USDT"),"")</f>
        <v/>
      </c>
      <c r="M47" s="211" t="n"/>
      <c r="N47" s="336">
        <f>IF(2&gt;O12,"","ALIŞ 2")</f>
        <v/>
      </c>
      <c r="O47" s="337">
        <f>IFERROR(IF(2&gt;(O12),"",IF(O7="","",IF(O7&lt;=0,"",ROUND(O7/(1+O11)^2,4)))),"")</f>
        <v/>
      </c>
      <c r="P47" s="338">
        <f>IFERROR(IF(O47="","",ROUND(O18/O7,2)&amp;" adet·"&amp;TEXT(ROUND(O18/O7,2)*O47,"#,##0.00")&amp;" USDT"),"")</f>
        <v/>
      </c>
    </row>
    <row r="48" ht="18" customHeight="1" s="207">
      <c r="B48" s="327">
        <f>IF(3&gt;C12,"","ALIŞ 3")</f>
        <v/>
      </c>
      <c r="C48" s="328">
        <f>IFERROR(IF(3&gt;(C12),"",IF(C7="","",IF(C7&lt;=0,"",IFERROR(ROUND(ROUND((C7-C11*3)/C14,0)*C14,2),"")))),"")</f>
        <v/>
      </c>
      <c r="D48" s="329">
        <f>IFERROR(IF(C48="","",FLOOR(C18/C7,1)&amp;" adet·"&amp;TEXT(FLOOR(C18/C7,1)*C48,"#,##0.0")&amp;" TL"),"")</f>
        <v/>
      </c>
      <c r="E48" s="211" t="n"/>
      <c r="F48" s="330">
        <f>IF(3&gt;G12,"","ALIŞ 3")</f>
        <v/>
      </c>
      <c r="G48" s="331">
        <f>IFERROR(IF(3&gt;(G12),"",IF(G7="","",IF(G7&lt;=0,"",IFERROR(ROUND(ROUND((G7/(1+G11)^3)/G14,0)*G14,2),"")))),"")</f>
        <v/>
      </c>
      <c r="H48" s="332">
        <f>IFERROR(IF(G48="","",FLOOR(G18/G7,1)&amp;" adet·"&amp;TEXT(FLOOR(G18/G7,1)*G48,"#,##0.0")&amp;" TL"),"")</f>
        <v/>
      </c>
      <c r="I48" s="211" t="n"/>
      <c r="J48" s="333">
        <f>IF(3&gt;K12,"","ALIŞ 3")</f>
        <v/>
      </c>
      <c r="K48" s="334">
        <f>IFERROR(IF(3&gt;(K12),"",IF(K7="","",IF(K7&lt;=0,"",ROUND(K7-K11*3,4)))),"")</f>
        <v/>
      </c>
      <c r="L48" s="335">
        <f>IFERROR(IF(K48="","",ROUND(K18/K7,2)&amp;" adet·"&amp;TEXT(ROUND(K18/K7,2)*K48,"#,##0.00")&amp;" USDT"),"")</f>
        <v/>
      </c>
      <c r="M48" s="211" t="n"/>
      <c r="N48" s="336">
        <f>IF(3&gt;O12,"","ALIŞ 3")</f>
        <v/>
      </c>
      <c r="O48" s="337">
        <f>IFERROR(IF(3&gt;(O12),"",IF(O7="","",IF(O7&lt;=0,"",ROUND(O7/(1+O11)^3,4)))),"")</f>
        <v/>
      </c>
      <c r="P48" s="338">
        <f>IFERROR(IF(O48="","",ROUND(O18/O7,2)&amp;" adet·"&amp;TEXT(ROUND(O18/O7,2)*O48,"#,##0.00")&amp;" USDT"),"")</f>
        <v/>
      </c>
    </row>
    <row r="49" ht="18" customHeight="1" s="207">
      <c r="B49" s="327">
        <f>IF(4&gt;C12,"","ALIŞ 4")</f>
        <v/>
      </c>
      <c r="C49" s="328">
        <f>IFERROR(IF(4&gt;(C12),"",IF(C7="","",IF(C7&lt;=0,"",IFERROR(ROUND(ROUND((C7-C11*4)/C14,0)*C14,2),"")))),"")</f>
        <v/>
      </c>
      <c r="D49" s="329">
        <f>IFERROR(IF(C49="","",FLOOR(C18/C7,1)&amp;" adet·"&amp;TEXT(FLOOR(C18/C7,1)*C49,"#,##0.0")&amp;" TL"),"")</f>
        <v/>
      </c>
      <c r="E49" s="211" t="n"/>
      <c r="F49" s="330">
        <f>IF(4&gt;G12,"","ALIŞ 4")</f>
        <v/>
      </c>
      <c r="G49" s="331">
        <f>IFERROR(IF(4&gt;(G12),"",IF(G7="","",IF(G7&lt;=0,"",IFERROR(ROUND(ROUND((G7/(1+G11)^4)/G14,0)*G14,2),"")))),"")</f>
        <v/>
      </c>
      <c r="H49" s="332">
        <f>IFERROR(IF(G49="","",FLOOR(G18/G7,1)&amp;" adet·"&amp;TEXT(FLOOR(G18/G7,1)*G49,"#,##0.0")&amp;" TL"),"")</f>
        <v/>
      </c>
      <c r="I49" s="211" t="n"/>
      <c r="J49" s="333">
        <f>IF(4&gt;K12,"","ALIŞ 4")</f>
        <v/>
      </c>
      <c r="K49" s="334">
        <f>IFERROR(IF(4&gt;(K12),"",IF(K7="","",IF(K7&lt;=0,"",ROUND(K7-K11*4,4)))),"")</f>
        <v/>
      </c>
      <c r="L49" s="335">
        <f>IFERROR(IF(K49="","",ROUND(K18/K7,2)&amp;" adet·"&amp;TEXT(ROUND(K18/K7,2)*K49,"#,##0.00")&amp;" USDT"),"")</f>
        <v/>
      </c>
      <c r="M49" s="211" t="n"/>
      <c r="N49" s="336">
        <f>IF(4&gt;O12,"","ALIŞ 4")</f>
        <v/>
      </c>
      <c r="O49" s="337">
        <f>IFERROR(IF(4&gt;(O12),"",IF(O7="","",IF(O7&lt;=0,"",ROUND(O7/(1+O11)^4,4)))),"")</f>
        <v/>
      </c>
      <c r="P49" s="338">
        <f>IFERROR(IF(O49="","",ROUND(O18/O7,2)&amp;" adet·"&amp;TEXT(ROUND(O18/O7,2)*O49,"#,##0.00")&amp;" USDT"),"")</f>
        <v/>
      </c>
    </row>
    <row r="50" ht="18" customHeight="1" s="207">
      <c r="B50" s="327">
        <f>IF(5&gt;C12,"","ALIŞ 5")</f>
        <v/>
      </c>
      <c r="C50" s="328">
        <f>IFERROR(IF(5&gt;(C12),"",IF(C7="","",IF(C7&lt;=0,"",IFERROR(ROUND(ROUND((C7-C11*5)/C14,0)*C14,2),"")))),"")</f>
        <v/>
      </c>
      <c r="D50" s="329">
        <f>IFERROR(IF(C50="","",FLOOR(C18/C7,1)&amp;" adet·"&amp;TEXT(FLOOR(C18/C7,1)*C50,"#,##0.0")&amp;" TL"),"")</f>
        <v/>
      </c>
      <c r="E50" s="211" t="n"/>
      <c r="F50" s="330">
        <f>IF(5&gt;G12,"","ALIŞ 5")</f>
        <v/>
      </c>
      <c r="G50" s="331">
        <f>IFERROR(IF(5&gt;(G12),"",IF(G7="","",IF(G7&lt;=0,"",IFERROR(ROUND(ROUND((G7/(1+G11)^5)/G14,0)*G14,2),"")))),"")</f>
        <v/>
      </c>
      <c r="H50" s="332">
        <f>IFERROR(IF(G50="","",FLOOR(G18/G7,1)&amp;" adet·"&amp;TEXT(FLOOR(G18/G7,1)*G50,"#,##0.0")&amp;" TL"),"")</f>
        <v/>
      </c>
      <c r="I50" s="211" t="n"/>
      <c r="J50" s="333">
        <f>IF(5&gt;K12,"","ALIŞ 5")</f>
        <v/>
      </c>
      <c r="K50" s="334">
        <f>IFERROR(IF(5&gt;(K12),"",IF(K7="","",IF(K7&lt;=0,"",ROUND(K7-K11*5,4)))),"")</f>
        <v/>
      </c>
      <c r="L50" s="335">
        <f>IFERROR(IF(K50="","",ROUND(K18/K7,2)&amp;" adet·"&amp;TEXT(ROUND(K18/K7,2)*K50,"#,##0.00")&amp;" USDT"),"")</f>
        <v/>
      </c>
      <c r="M50" s="211" t="n"/>
      <c r="N50" s="336">
        <f>IF(5&gt;O12,"","ALIŞ 5")</f>
        <v/>
      </c>
      <c r="O50" s="337">
        <f>IFERROR(IF(5&gt;(O12),"",IF(O7="","",IF(O7&lt;=0,"",ROUND(O7/(1+O11)^5,4)))),"")</f>
        <v/>
      </c>
      <c r="P50" s="338">
        <f>IFERROR(IF(O50="","",ROUND(O18/O7,2)&amp;" adet·"&amp;TEXT(ROUND(O18/O7,2)*O50,"#,##0.00")&amp;" USDT"),"")</f>
        <v/>
      </c>
    </row>
    <row r="51" ht="18" customHeight="1" s="207">
      <c r="B51" s="327">
        <f>IF(6&gt;C12,"","ALIŞ 6")</f>
        <v/>
      </c>
      <c r="C51" s="328">
        <f>IFERROR(IF(6&gt;(C12),"",IF(C7="","",IF(C7&lt;=0,"",IFERROR(ROUND(ROUND((C7-C11*6)/C14,0)*C14,2),"")))),"")</f>
        <v/>
      </c>
      <c r="D51" s="329">
        <f>IFERROR(IF(C51="","",FLOOR(C18/C7,1)&amp;" adet·"&amp;TEXT(FLOOR(C18/C7,1)*C51,"#,##0.0")&amp;" TL"),"")</f>
        <v/>
      </c>
      <c r="E51" s="211" t="n"/>
      <c r="F51" s="330">
        <f>IF(6&gt;G12,"","ALIŞ 6")</f>
        <v/>
      </c>
      <c r="G51" s="331">
        <f>IFERROR(IF(6&gt;(G12),"",IF(G7="","",IF(G7&lt;=0,"",IFERROR(ROUND(ROUND((G7/(1+G11)^6)/G14,0)*G14,2),"")))),"")</f>
        <v/>
      </c>
      <c r="H51" s="332">
        <f>IFERROR(IF(G51="","",FLOOR(G18/G7,1)&amp;" adet·"&amp;TEXT(FLOOR(G18/G7,1)*G51,"#,##0.0")&amp;" TL"),"")</f>
        <v/>
      </c>
      <c r="I51" s="211" t="n"/>
      <c r="J51" s="333">
        <f>IF(6&gt;K12,"","ALIŞ 6")</f>
        <v/>
      </c>
      <c r="K51" s="334">
        <f>IFERROR(IF(6&gt;(K12),"",IF(K7="","",IF(K7&lt;=0,"",ROUND(K7-K11*6,4)))),"")</f>
        <v/>
      </c>
      <c r="L51" s="335">
        <f>IFERROR(IF(K51="","",ROUND(K18/K7,2)&amp;" adet·"&amp;TEXT(ROUND(K18/K7,2)*K51,"#,##0.00")&amp;" USDT"),"")</f>
        <v/>
      </c>
      <c r="M51" s="211" t="n"/>
      <c r="N51" s="336">
        <f>IF(6&gt;O12,"","ALIŞ 6")</f>
        <v/>
      </c>
      <c r="O51" s="337">
        <f>IFERROR(IF(6&gt;(O12),"",IF(O7="","",IF(O7&lt;=0,"",ROUND(O7/(1+O11)^6,4)))),"")</f>
        <v/>
      </c>
      <c r="P51" s="338">
        <f>IFERROR(IF(O51="","",ROUND(O18/O7,2)&amp;" adet·"&amp;TEXT(ROUND(O18/O7,2)*O51,"#,##0.00")&amp;" USDT"),"")</f>
        <v/>
      </c>
    </row>
    <row r="52" ht="18" customHeight="1" s="207">
      <c r="B52" s="327">
        <f>IF(7&gt;C12,"","ALIŞ 7")</f>
        <v/>
      </c>
      <c r="C52" s="328">
        <f>IFERROR(IF(7&gt;(C12),"",IF(C7="","",IF(C7&lt;=0,"",IFERROR(ROUND(ROUND((C7-C11*7)/C14,0)*C14,2),"")))),"")</f>
        <v/>
      </c>
      <c r="D52" s="329">
        <f>IFERROR(IF(C52="","",FLOOR(C18/C7,1)&amp;" adet·"&amp;TEXT(FLOOR(C18/C7,1)*C52,"#,##0.0")&amp;" TL"),"")</f>
        <v/>
      </c>
      <c r="E52" s="211" t="n"/>
      <c r="F52" s="330">
        <f>IF(7&gt;G12,"","ALIŞ 7")</f>
        <v/>
      </c>
      <c r="G52" s="331">
        <f>IFERROR(IF(7&gt;(G12),"",IF(G7="","",IF(G7&lt;=0,"",IFERROR(ROUND(ROUND((G7/(1+G11)^7)/G14,0)*G14,2),"")))),"")</f>
        <v/>
      </c>
      <c r="H52" s="332">
        <f>IFERROR(IF(G52="","",FLOOR(G18/G7,1)&amp;" adet·"&amp;TEXT(FLOOR(G18/G7,1)*G52,"#,##0.0")&amp;" TL"),"")</f>
        <v/>
      </c>
      <c r="I52" s="211" t="n"/>
      <c r="J52" s="333">
        <f>IF(7&gt;K12,"","ALIŞ 7")</f>
        <v/>
      </c>
      <c r="K52" s="334">
        <f>IFERROR(IF(7&gt;(K12),"",IF(K7="","",IF(K7&lt;=0,"",ROUND(K7-K11*7,4)))),"")</f>
        <v/>
      </c>
      <c r="L52" s="335">
        <f>IFERROR(IF(K52="","",ROUND(K18/K7,2)&amp;" adet·"&amp;TEXT(ROUND(K18/K7,2)*K52,"#,##0.00")&amp;" USDT"),"")</f>
        <v/>
      </c>
      <c r="M52" s="211" t="n"/>
      <c r="N52" s="336">
        <f>IF(7&gt;O12,"","ALIŞ 7")</f>
        <v/>
      </c>
      <c r="O52" s="337">
        <f>IFERROR(IF(7&gt;(O12),"",IF(O7="","",IF(O7&lt;=0,"",ROUND(O7/(1+O11)^7,4)))),"")</f>
        <v/>
      </c>
      <c r="P52" s="338">
        <f>IFERROR(IF(O52="","",ROUND(O18/O7,2)&amp;" adet·"&amp;TEXT(ROUND(O18/O7,2)*O52,"#,##0.00")&amp;" USDT"),"")</f>
        <v/>
      </c>
    </row>
    <row r="53" ht="18" customHeight="1" s="207">
      <c r="B53" s="327">
        <f>IF(8&gt;C12,"","ALIŞ 8")</f>
        <v/>
      </c>
      <c r="C53" s="328">
        <f>IFERROR(IF(8&gt;(C12),"",IF(C7="","",IF(C7&lt;=0,"",IFERROR(ROUND(ROUND((C7-C11*8)/C14,0)*C14,2),"")))),"")</f>
        <v/>
      </c>
      <c r="D53" s="329">
        <f>IFERROR(IF(C53="","",FLOOR(C18/C7,1)&amp;" adet·"&amp;TEXT(FLOOR(C18/C7,1)*C53,"#,##0.0")&amp;" TL"),"")</f>
        <v/>
      </c>
      <c r="E53" s="211" t="n"/>
      <c r="F53" s="330">
        <f>IF(8&gt;G12,"","ALIŞ 8")</f>
        <v/>
      </c>
      <c r="G53" s="331">
        <f>IFERROR(IF(8&gt;(G12),"",IF(G7="","",IF(G7&lt;=0,"",IFERROR(ROUND(ROUND((G7/(1+G11)^8)/G14,0)*G14,2),"")))),"")</f>
        <v/>
      </c>
      <c r="H53" s="332">
        <f>IFERROR(IF(G53="","",FLOOR(G18/G7,1)&amp;" adet·"&amp;TEXT(FLOOR(G18/G7,1)*G53,"#,##0.0")&amp;" TL"),"")</f>
        <v/>
      </c>
      <c r="I53" s="211" t="n"/>
      <c r="J53" s="333">
        <f>IF(8&gt;K12,"","ALIŞ 8")</f>
        <v/>
      </c>
      <c r="K53" s="334">
        <f>IFERROR(IF(8&gt;(K12),"",IF(K7="","",IF(K7&lt;=0,"",ROUND(K7-K11*8,4)))),"")</f>
        <v/>
      </c>
      <c r="L53" s="335">
        <f>IFERROR(IF(K53="","",ROUND(K18/K7,2)&amp;" adet·"&amp;TEXT(ROUND(K18/K7,2)*K53,"#,##0.00")&amp;" USDT"),"")</f>
        <v/>
      </c>
      <c r="M53" s="211" t="n"/>
      <c r="N53" s="336">
        <f>IF(8&gt;O12,"","ALIŞ 8")</f>
        <v/>
      </c>
      <c r="O53" s="337">
        <f>IFERROR(IF(8&gt;(O12),"",IF(O7="","",IF(O7&lt;=0,"",ROUND(O7/(1+O11)^8,4)))),"")</f>
        <v/>
      </c>
      <c r="P53" s="338">
        <f>IFERROR(IF(O53="","",ROUND(O18/O7,2)&amp;" adet·"&amp;TEXT(ROUND(O18/O7,2)*O53,"#,##0.00")&amp;" USDT"),"")</f>
        <v/>
      </c>
    </row>
    <row r="54" ht="18" customHeight="1" s="207">
      <c r="B54" s="327">
        <f>IF(9&gt;C12,"","ALIŞ 9")</f>
        <v/>
      </c>
      <c r="C54" s="328">
        <f>IFERROR(IF(9&gt;(C12),"",IF(C7="","",IF(C7&lt;=0,"",IFERROR(ROUND(ROUND((C7-C11*9)/C14,0)*C14,2),"")))),"")</f>
        <v/>
      </c>
      <c r="D54" s="329">
        <f>IFERROR(IF(C54="","",FLOOR(C18/C7,1)&amp;" adet·"&amp;TEXT(FLOOR(C18/C7,1)*C54,"#,##0.0")&amp;" TL"),"")</f>
        <v/>
      </c>
      <c r="E54" s="211" t="n"/>
      <c r="F54" s="330">
        <f>IF(9&gt;G12,"","ALIŞ 9")</f>
        <v/>
      </c>
      <c r="G54" s="331">
        <f>IFERROR(IF(9&gt;(G12),"",IF(G7="","",IF(G7&lt;=0,"",IFERROR(ROUND(ROUND((G7/(1+G11)^9)/G14,0)*G14,2),"")))),"")</f>
        <v/>
      </c>
      <c r="H54" s="332">
        <f>IFERROR(IF(G54="","",FLOOR(G18/G7,1)&amp;" adet·"&amp;TEXT(FLOOR(G18/G7,1)*G54,"#,##0.0")&amp;" TL"),"")</f>
        <v/>
      </c>
      <c r="I54" s="211" t="n"/>
      <c r="J54" s="333">
        <f>IF(9&gt;K12,"","ALIŞ 9")</f>
        <v/>
      </c>
      <c r="K54" s="334">
        <f>IFERROR(IF(9&gt;(K12),"",IF(K7="","",IF(K7&lt;=0,"",ROUND(K7-K11*9,4)))),"")</f>
        <v/>
      </c>
      <c r="L54" s="335">
        <f>IFERROR(IF(K54="","",ROUND(K18/K7,2)&amp;" adet·"&amp;TEXT(ROUND(K18/K7,2)*K54,"#,##0.00")&amp;" USDT"),"")</f>
        <v/>
      </c>
      <c r="M54" s="211" t="n"/>
      <c r="N54" s="336">
        <f>IF(9&gt;O12,"","ALIŞ 9")</f>
        <v/>
      </c>
      <c r="O54" s="337">
        <f>IFERROR(IF(9&gt;(O12),"",IF(O7="","",IF(O7&lt;=0,"",ROUND(O7/(1+O11)^9,4)))),"")</f>
        <v/>
      </c>
      <c r="P54" s="338">
        <f>IFERROR(IF(O54="","",ROUND(O18/O7,2)&amp;" adet·"&amp;TEXT(ROUND(O18/O7,2)*O54,"#,##0.00")&amp;" USDT"),"")</f>
        <v/>
      </c>
    </row>
    <row r="55" ht="18" customHeight="1" s="207">
      <c r="B55" s="327">
        <f>IF(10&gt;C12,"","ALIŞ 10")</f>
        <v/>
      </c>
      <c r="C55" s="328">
        <f>IFERROR(IF(10&gt;(C12),"",IF(C7="","",IF(C7&lt;=0,"",IFERROR(ROUND(ROUND((C7-C11*10)/C14,0)*C14,2),"")))),"")</f>
        <v/>
      </c>
      <c r="D55" s="329">
        <f>IFERROR(IF(C55="","",FLOOR(C18/C7,1)&amp;" adet·"&amp;TEXT(FLOOR(C18/C7,1)*C55,"#,##0.0")&amp;" TL"),"")</f>
        <v/>
      </c>
      <c r="E55" s="211" t="n"/>
      <c r="F55" s="330">
        <f>IF(10&gt;G12,"","ALIŞ 10")</f>
        <v/>
      </c>
      <c r="G55" s="331">
        <f>IFERROR(IF(10&gt;(G12),"",IF(G7="","",IF(G7&lt;=0,"",IFERROR(ROUND(ROUND((G7/(1+G11)^10)/G14,0)*G14,2),"")))),"")</f>
        <v/>
      </c>
      <c r="H55" s="332">
        <f>IFERROR(IF(G55="","",FLOOR(G18/G7,1)&amp;" adet·"&amp;TEXT(FLOOR(G18/G7,1)*G55,"#,##0.0")&amp;" TL"),"")</f>
        <v/>
      </c>
      <c r="I55" s="211" t="n"/>
      <c r="J55" s="333">
        <f>IF(10&gt;K12,"","ALIŞ 10")</f>
        <v/>
      </c>
      <c r="K55" s="334">
        <f>IFERROR(IF(10&gt;(K12),"",IF(K7="","",IF(K7&lt;=0,"",ROUND(K7-K11*10,4)))),"")</f>
        <v/>
      </c>
      <c r="L55" s="335">
        <f>IFERROR(IF(K55="","",ROUND(K18/K7,2)&amp;" adet·"&amp;TEXT(ROUND(K18/K7,2)*K55,"#,##0.00")&amp;" USDT"),"")</f>
        <v/>
      </c>
      <c r="M55" s="211" t="n"/>
      <c r="N55" s="336">
        <f>IF(10&gt;O12,"","ALIŞ 10")</f>
        <v/>
      </c>
      <c r="O55" s="337">
        <f>IFERROR(IF(10&gt;(O12),"",IF(O7="","",IF(O7&lt;=0,"",ROUND(O7/(1+O11)^10,4)))),"")</f>
        <v/>
      </c>
      <c r="P55" s="338">
        <f>IFERROR(IF(O55="","",ROUND(O18/O7,2)&amp;" adet·"&amp;TEXT(ROUND(O18/O7,2)*O55,"#,##0.00")&amp;" USDT"),"")</f>
        <v/>
      </c>
    </row>
    <row r="56" ht="18" customHeight="1" s="207">
      <c r="B56" s="327">
        <f>IF(11&gt;C12,"","ALIŞ 11")</f>
        <v/>
      </c>
      <c r="C56" s="328">
        <f>IFERROR(IF(11&gt;(C12),"",IF(C7="","",IF(C7&lt;=0,"",IFERROR(ROUND(ROUND((C7-C11*11)/C14,0)*C14,2),"")))),"")</f>
        <v/>
      </c>
      <c r="D56" s="329">
        <f>IFERROR(IF(C56="","",FLOOR(C18/C7,1)&amp;" adet·"&amp;TEXT(FLOOR(C18/C7,1)*C56,"#,##0.0")&amp;" TL"),"")</f>
        <v/>
      </c>
      <c r="E56" s="211" t="n"/>
      <c r="F56" s="330">
        <f>IF(11&gt;G12,"","ALIŞ 11")</f>
        <v/>
      </c>
      <c r="G56" s="331">
        <f>IFERROR(IF(11&gt;(G12),"",IF(G7="","",IF(G7&lt;=0,"",IFERROR(ROUND(ROUND((G7/(1+G11)^11)/G14,0)*G14,2),"")))),"")</f>
        <v/>
      </c>
      <c r="H56" s="332">
        <f>IFERROR(IF(G56="","",FLOOR(G18/G7,1)&amp;" adet·"&amp;TEXT(FLOOR(G18/G7,1)*G56,"#,##0.0")&amp;" TL"),"")</f>
        <v/>
      </c>
      <c r="I56" s="211" t="n"/>
      <c r="J56" s="333">
        <f>IF(11&gt;K12,"","ALIŞ 11")</f>
        <v/>
      </c>
      <c r="K56" s="334">
        <f>IFERROR(IF(11&gt;(K12),"",IF(K7="","",IF(K7&lt;=0,"",ROUND(K7-K11*11,4)))),"")</f>
        <v/>
      </c>
      <c r="L56" s="335">
        <f>IFERROR(IF(K56="","",ROUND(K18/K7,2)&amp;" adet·"&amp;TEXT(ROUND(K18/K7,2)*K56,"#,##0.00")&amp;" USDT"),"")</f>
        <v/>
      </c>
      <c r="M56" s="211" t="n"/>
      <c r="N56" s="336">
        <f>IF(11&gt;O12,"","ALIŞ 11")</f>
        <v/>
      </c>
      <c r="O56" s="337">
        <f>IFERROR(IF(11&gt;(O12),"",IF(O7="","",IF(O7&lt;=0,"",ROUND(O7/(1+O11)^11,4)))),"")</f>
        <v/>
      </c>
      <c r="P56" s="338">
        <f>IFERROR(IF(O56="","",ROUND(O18/O7,2)&amp;" adet·"&amp;TEXT(ROUND(O18/O7,2)*O56,"#,##0.00")&amp;" USDT"),"")</f>
        <v/>
      </c>
    </row>
    <row r="57" ht="18" customHeight="1" s="207">
      <c r="B57" s="327">
        <f>IF(12&gt;C12,"","ALIŞ 12")</f>
        <v/>
      </c>
      <c r="C57" s="328">
        <f>IFERROR(IF(12&gt;(C12),"",IF(C7="","",IF(C7&lt;=0,"",IFERROR(ROUND(ROUND((C7-C11*12)/C14,0)*C14,2),"")))),"")</f>
        <v/>
      </c>
      <c r="D57" s="329">
        <f>IFERROR(IF(C57="","",FLOOR(C18/C7,1)&amp;" adet·"&amp;TEXT(FLOOR(C18/C7,1)*C57,"#,##0.0")&amp;" TL"),"")</f>
        <v/>
      </c>
      <c r="E57" s="211" t="n"/>
      <c r="F57" s="330">
        <f>IF(12&gt;G12,"","ALIŞ 12")</f>
        <v/>
      </c>
      <c r="G57" s="331">
        <f>IFERROR(IF(12&gt;(G12),"",IF(G7="","",IF(G7&lt;=0,"",IFERROR(ROUND(ROUND((G7/(1+G11)^12)/G14,0)*G14,2),"")))),"")</f>
        <v/>
      </c>
      <c r="H57" s="332">
        <f>IFERROR(IF(G57="","",FLOOR(G18/G7,1)&amp;" adet·"&amp;TEXT(FLOOR(G18/G7,1)*G57,"#,##0.0")&amp;" TL"),"")</f>
        <v/>
      </c>
      <c r="I57" s="211" t="n"/>
      <c r="J57" s="333">
        <f>IF(12&gt;K12,"","ALIŞ 12")</f>
        <v/>
      </c>
      <c r="K57" s="334">
        <f>IFERROR(IF(12&gt;(K12),"",IF(K7="","",IF(K7&lt;=0,"",ROUND(K7-K11*12,4)))),"")</f>
        <v/>
      </c>
      <c r="L57" s="335">
        <f>IFERROR(IF(K57="","",ROUND(K18/K7,2)&amp;" adet·"&amp;TEXT(ROUND(K18/K7,2)*K57,"#,##0.00")&amp;" USDT"),"")</f>
        <v/>
      </c>
      <c r="M57" s="211" t="n"/>
      <c r="N57" s="336">
        <f>IF(12&gt;O12,"","ALIŞ 12")</f>
        <v/>
      </c>
      <c r="O57" s="337">
        <f>IFERROR(IF(12&gt;(O12),"",IF(O7="","",IF(O7&lt;=0,"",ROUND(O7/(1+O11)^12,4)))),"")</f>
        <v/>
      </c>
      <c r="P57" s="338">
        <f>IFERROR(IF(O57="","",ROUND(O18/O7,2)&amp;" adet·"&amp;TEXT(ROUND(O18/O7,2)*O57,"#,##0.00")&amp;" USDT"),"")</f>
        <v/>
      </c>
    </row>
    <row r="58" ht="18" customHeight="1" s="207">
      <c r="B58" s="327">
        <f>IF(13&gt;C12,"","ALIŞ 13")</f>
        <v/>
      </c>
      <c r="C58" s="328">
        <f>IFERROR(IF(13&gt;(C12),"",IF(C7="","",IF(C7&lt;=0,"",IFERROR(ROUND(ROUND((C7-C11*13)/C14,0)*C14,2),"")))),"")</f>
        <v/>
      </c>
      <c r="D58" s="329">
        <f>IFERROR(IF(C58="","",FLOOR(C18/C7,1)&amp;" adet·"&amp;TEXT(FLOOR(C18/C7,1)*C58,"#,##0.0")&amp;" TL"),"")</f>
        <v/>
      </c>
      <c r="E58" s="211" t="n"/>
      <c r="F58" s="330">
        <f>IF(13&gt;G12,"","ALIŞ 13")</f>
        <v/>
      </c>
      <c r="G58" s="331">
        <f>IFERROR(IF(13&gt;(G12),"",IF(G7="","",IF(G7&lt;=0,"",IFERROR(ROUND(ROUND((G7/(1+G11)^13)/G14,0)*G14,2),"")))),"")</f>
        <v/>
      </c>
      <c r="H58" s="332">
        <f>IFERROR(IF(G58="","",FLOOR(G18/G7,1)&amp;" adet·"&amp;TEXT(FLOOR(G18/G7,1)*G58,"#,##0.0")&amp;" TL"),"")</f>
        <v/>
      </c>
      <c r="I58" s="211" t="n"/>
      <c r="J58" s="333">
        <f>IF(13&gt;K12,"","ALIŞ 13")</f>
        <v/>
      </c>
      <c r="K58" s="334">
        <f>IFERROR(IF(13&gt;(K12),"",IF(K7="","",IF(K7&lt;=0,"",ROUND(K7-K11*13,4)))),"")</f>
        <v/>
      </c>
      <c r="L58" s="335">
        <f>IFERROR(IF(K58="","",ROUND(K18/K7,2)&amp;" adet·"&amp;TEXT(ROUND(K18/K7,2)*K58,"#,##0.00")&amp;" USDT"),"")</f>
        <v/>
      </c>
      <c r="M58" s="211" t="n"/>
      <c r="N58" s="336">
        <f>IF(13&gt;O12,"","ALIŞ 13")</f>
        <v/>
      </c>
      <c r="O58" s="337">
        <f>IFERROR(IF(13&gt;(O12),"",IF(O7="","",IF(O7&lt;=0,"",ROUND(O7/(1+O11)^13,4)))),"")</f>
        <v/>
      </c>
      <c r="P58" s="338">
        <f>IFERROR(IF(O58="","",ROUND(O18/O7,2)&amp;" adet·"&amp;TEXT(ROUND(O18/O7,2)*O58,"#,##0.00")&amp;" USDT"),"")</f>
        <v/>
      </c>
    </row>
    <row r="59" ht="18" customHeight="1" s="207">
      <c r="B59" s="327">
        <f>IF(14&gt;C12,"","ALIŞ 14")</f>
        <v/>
      </c>
      <c r="C59" s="328">
        <f>IFERROR(IF(14&gt;(C12),"",IF(C7="","",IF(C7&lt;=0,"",IFERROR(ROUND(ROUND((C7-C11*14)/C14,0)*C14,2),"")))),"")</f>
        <v/>
      </c>
      <c r="D59" s="329">
        <f>IFERROR(IF(C59="","",FLOOR(C18/C7,1)&amp;" adet·"&amp;TEXT(FLOOR(C18/C7,1)*C59,"#,##0.0")&amp;" TL"),"")</f>
        <v/>
      </c>
      <c r="E59" s="211" t="n"/>
      <c r="F59" s="330">
        <f>IF(14&gt;G12,"","ALIŞ 14")</f>
        <v/>
      </c>
      <c r="G59" s="331">
        <f>IFERROR(IF(14&gt;(G12),"",IF(G7="","",IF(G7&lt;=0,"",IFERROR(ROUND(ROUND((G7/(1+G11)^14)/G14,0)*G14,2),"")))),"")</f>
        <v/>
      </c>
      <c r="H59" s="332">
        <f>IFERROR(IF(G59="","",FLOOR(G18/G7,1)&amp;" adet·"&amp;TEXT(FLOOR(G18/G7,1)*G59,"#,##0.0")&amp;" TL"),"")</f>
        <v/>
      </c>
      <c r="I59" s="211" t="n"/>
      <c r="J59" s="333">
        <f>IF(14&gt;K12,"","ALIŞ 14")</f>
        <v/>
      </c>
      <c r="K59" s="334">
        <f>IFERROR(IF(14&gt;(K12),"",IF(K7="","",IF(K7&lt;=0,"",ROUND(K7-K11*14,4)))),"")</f>
        <v/>
      </c>
      <c r="L59" s="335">
        <f>IFERROR(IF(K59="","",ROUND(K18/K7,2)&amp;" adet·"&amp;TEXT(ROUND(K18/K7,2)*K59,"#,##0.00")&amp;" USDT"),"")</f>
        <v/>
      </c>
      <c r="M59" s="211" t="n"/>
      <c r="N59" s="336">
        <f>IF(14&gt;O12,"","ALIŞ 14")</f>
        <v/>
      </c>
      <c r="O59" s="337">
        <f>IFERROR(IF(14&gt;(O12),"",IF(O7="","",IF(O7&lt;=0,"",ROUND(O7/(1+O11)^14,4)))),"")</f>
        <v/>
      </c>
      <c r="P59" s="338">
        <f>IFERROR(IF(O59="","",ROUND(O18/O7,2)&amp;" adet·"&amp;TEXT(ROUND(O18/O7,2)*O59,"#,##0.00")&amp;" USDT"),"")</f>
        <v/>
      </c>
    </row>
    <row r="60" ht="18" customHeight="1" s="207">
      <c r="B60" s="327">
        <f>IF(15&gt;C12,"","ALIŞ 15")</f>
        <v/>
      </c>
      <c r="C60" s="328">
        <f>IFERROR(IF(15&gt;(C12),"",IF(C7="","",IF(C7&lt;=0,"",IFERROR(ROUND(ROUND((C7-C11*15)/C14,0)*C14,2),"")))),"")</f>
        <v/>
      </c>
      <c r="D60" s="329">
        <f>IFERROR(IF(C60="","",FLOOR(C18/C7,1)&amp;" adet·"&amp;TEXT(FLOOR(C18/C7,1)*C60,"#,##0.0")&amp;" TL"),"")</f>
        <v/>
      </c>
      <c r="E60" s="211" t="n"/>
      <c r="F60" s="330">
        <f>IF(15&gt;G12,"","ALIŞ 15")</f>
        <v/>
      </c>
      <c r="G60" s="331">
        <f>IFERROR(IF(15&gt;(G12),"",IF(G7="","",IF(G7&lt;=0,"",IFERROR(ROUND(ROUND((G7/(1+G11)^15)/G14,0)*G14,2),"")))),"")</f>
        <v/>
      </c>
      <c r="H60" s="332">
        <f>IFERROR(IF(G60="","",FLOOR(G18/G7,1)&amp;" adet·"&amp;TEXT(FLOOR(G18/G7,1)*G60,"#,##0.0")&amp;" TL"),"")</f>
        <v/>
      </c>
      <c r="I60" s="211" t="n"/>
      <c r="J60" s="333">
        <f>IF(15&gt;K12,"","ALIŞ 15")</f>
        <v/>
      </c>
      <c r="K60" s="334">
        <f>IFERROR(IF(15&gt;(K12),"",IF(K7="","",IF(K7&lt;=0,"",ROUND(K7-K11*15,4)))),"")</f>
        <v/>
      </c>
      <c r="L60" s="335">
        <f>IFERROR(IF(K60="","",ROUND(K18/K7,2)&amp;" adet·"&amp;TEXT(ROUND(K18/K7,2)*K60,"#,##0.00")&amp;" USDT"),"")</f>
        <v/>
      </c>
      <c r="M60" s="211" t="n"/>
      <c r="N60" s="336">
        <f>IF(15&gt;O12,"","ALIŞ 15")</f>
        <v/>
      </c>
      <c r="O60" s="337">
        <f>IFERROR(IF(15&gt;(O12),"",IF(O7="","",IF(O7&lt;=0,"",ROUND(O7/(1+O11)^15,4)))),"")</f>
        <v/>
      </c>
      <c r="P60" s="338">
        <f>IFERROR(IF(O60="","",ROUND(O18/O7,2)&amp;" adet·"&amp;TEXT(ROUND(O18/O7,2)*O60,"#,##0.00")&amp;" USDT"),"")</f>
        <v/>
      </c>
    </row>
    <row r="61" ht="18" customHeight="1" s="207">
      <c r="B61" s="327">
        <f>IF(16&gt;C12,"","ALIŞ 16")</f>
        <v/>
      </c>
      <c r="C61" s="328">
        <f>IFERROR(IF(16&gt;(C12),"",IF(C7="","",IF(C7&lt;=0,"",IFERROR(ROUND(ROUND((C7-C11*16)/C14,0)*C14,2),"")))),"")</f>
        <v/>
      </c>
      <c r="D61" s="329">
        <f>IFERROR(IF(C61="","",FLOOR(C18/C7,1)&amp;" adet·"&amp;TEXT(FLOOR(C18/C7,1)*C61,"#,##0.0")&amp;" TL"),"")</f>
        <v/>
      </c>
      <c r="E61" s="211" t="n"/>
      <c r="F61" s="330">
        <f>IF(16&gt;G12,"","ALIŞ 16")</f>
        <v/>
      </c>
      <c r="G61" s="331">
        <f>IFERROR(IF(16&gt;(G12),"",IF(G7="","",IF(G7&lt;=0,"",IFERROR(ROUND(ROUND((G7/(1+G11)^16)/G14,0)*G14,2),"")))),"")</f>
        <v/>
      </c>
      <c r="H61" s="332">
        <f>IFERROR(IF(G61="","",FLOOR(G18/G7,1)&amp;" adet·"&amp;TEXT(FLOOR(G18/G7,1)*G61,"#,##0.0")&amp;" TL"),"")</f>
        <v/>
      </c>
      <c r="I61" s="211" t="n"/>
      <c r="J61" s="333">
        <f>IF(16&gt;K12,"","ALIŞ 16")</f>
        <v/>
      </c>
      <c r="K61" s="334">
        <f>IFERROR(IF(16&gt;(K12),"",IF(K7="","",IF(K7&lt;=0,"",ROUND(K7-K11*16,4)))),"")</f>
        <v/>
      </c>
      <c r="L61" s="335">
        <f>IFERROR(IF(K61="","",ROUND(K18/K7,2)&amp;" adet·"&amp;TEXT(ROUND(K18/K7,2)*K61,"#,##0.00")&amp;" USDT"),"")</f>
        <v/>
      </c>
      <c r="M61" s="211" t="n"/>
      <c r="N61" s="336">
        <f>IF(16&gt;O12,"","ALIŞ 16")</f>
        <v/>
      </c>
      <c r="O61" s="337">
        <f>IFERROR(IF(16&gt;(O12),"",IF(O7="","",IF(O7&lt;=0,"",ROUND(O7/(1+O11)^16,4)))),"")</f>
        <v/>
      </c>
      <c r="P61" s="338">
        <f>IFERROR(IF(O61="","",ROUND(O18/O7,2)&amp;" adet·"&amp;TEXT(ROUND(O18/O7,2)*O61,"#,##0.00")&amp;" USDT"),"")</f>
        <v/>
      </c>
    </row>
    <row r="62" ht="18" customHeight="1" s="207">
      <c r="B62" s="327">
        <f>IF(17&gt;C12,"","ALIŞ 17")</f>
        <v/>
      </c>
      <c r="C62" s="328">
        <f>IFERROR(IF(17&gt;(C12),"",IF(C7="","",IF(C7&lt;=0,"",IFERROR(ROUND(ROUND((C7-C11*17)/C14,0)*C14,2),"")))),"")</f>
        <v/>
      </c>
      <c r="D62" s="329">
        <f>IFERROR(IF(C62="","",FLOOR(C18/C7,1)&amp;" adet·"&amp;TEXT(FLOOR(C18/C7,1)*C62,"#,##0.0")&amp;" TL"),"")</f>
        <v/>
      </c>
      <c r="E62" s="211" t="n"/>
      <c r="F62" s="330">
        <f>IF(17&gt;G12,"","ALIŞ 17")</f>
        <v/>
      </c>
      <c r="G62" s="331">
        <f>IFERROR(IF(17&gt;(G12),"",IF(G7="","",IF(G7&lt;=0,"",IFERROR(ROUND(ROUND((G7/(1+G11)^17)/G14,0)*G14,2),"")))),"")</f>
        <v/>
      </c>
      <c r="H62" s="332">
        <f>IFERROR(IF(G62="","",FLOOR(G18/G7,1)&amp;" adet·"&amp;TEXT(FLOOR(G18/G7,1)*G62,"#,##0.0")&amp;" TL"),"")</f>
        <v/>
      </c>
      <c r="I62" s="211" t="n"/>
      <c r="J62" s="333">
        <f>IF(17&gt;K12,"","ALIŞ 17")</f>
        <v/>
      </c>
      <c r="K62" s="334">
        <f>IFERROR(IF(17&gt;(K12),"",IF(K7="","",IF(K7&lt;=0,"",ROUND(K7-K11*17,4)))),"")</f>
        <v/>
      </c>
      <c r="L62" s="335">
        <f>IFERROR(IF(K62="","",ROUND(K18/K7,2)&amp;" adet·"&amp;TEXT(ROUND(K18/K7,2)*K62,"#,##0.00")&amp;" USDT"),"")</f>
        <v/>
      </c>
      <c r="M62" s="211" t="n"/>
      <c r="N62" s="336">
        <f>IF(17&gt;O12,"","ALIŞ 17")</f>
        <v/>
      </c>
      <c r="O62" s="337">
        <f>IFERROR(IF(17&gt;(O12),"",IF(O7="","",IF(O7&lt;=0,"",ROUND(O7/(1+O11)^17,4)))),"")</f>
        <v/>
      </c>
      <c r="P62" s="338">
        <f>IFERROR(IF(O62="","",ROUND(O18/O7,2)&amp;" adet·"&amp;TEXT(ROUND(O18/O7,2)*O62,"#,##0.00")&amp;" USDT"),"")</f>
        <v/>
      </c>
    </row>
    <row r="63" ht="18" customHeight="1" s="207">
      <c r="B63" s="327">
        <f>IF(18&gt;C12,"","ALIŞ 18")</f>
        <v/>
      </c>
      <c r="C63" s="328">
        <f>IFERROR(IF(18&gt;(C12),"",IF(C7="","",IF(C7&lt;=0,"",IFERROR(ROUND(ROUND((C7-C11*18)/C14,0)*C14,2),"")))),"")</f>
        <v/>
      </c>
      <c r="D63" s="329">
        <f>IFERROR(IF(C63="","",FLOOR(C18/C7,1)&amp;" adet·"&amp;TEXT(FLOOR(C18/C7,1)*C63,"#,##0.0")&amp;" TL"),"")</f>
        <v/>
      </c>
      <c r="E63" s="211" t="n"/>
      <c r="F63" s="330">
        <f>IF(18&gt;G12,"","ALIŞ 18")</f>
        <v/>
      </c>
      <c r="G63" s="331">
        <f>IFERROR(IF(18&gt;(G12),"",IF(G7="","",IF(G7&lt;=0,"",IFERROR(ROUND(ROUND((G7/(1+G11)^18)/G14,0)*G14,2),"")))),"")</f>
        <v/>
      </c>
      <c r="H63" s="332">
        <f>IFERROR(IF(G63="","",FLOOR(G18/G7,1)&amp;" adet·"&amp;TEXT(FLOOR(G18/G7,1)*G63,"#,##0.0")&amp;" TL"),"")</f>
        <v/>
      </c>
      <c r="I63" s="211" t="n"/>
      <c r="J63" s="333">
        <f>IF(18&gt;K12,"","ALIŞ 18")</f>
        <v/>
      </c>
      <c r="K63" s="334">
        <f>IFERROR(IF(18&gt;(K12),"",IF(K7="","",IF(K7&lt;=0,"",ROUND(K7-K11*18,4)))),"")</f>
        <v/>
      </c>
      <c r="L63" s="335">
        <f>IFERROR(IF(K63="","",ROUND(K18/K7,2)&amp;" adet·"&amp;TEXT(ROUND(K18/K7,2)*K63,"#,##0.00")&amp;" USDT"),"")</f>
        <v/>
      </c>
      <c r="M63" s="211" t="n"/>
      <c r="N63" s="336">
        <f>IF(18&gt;O12,"","ALIŞ 18")</f>
        <v/>
      </c>
      <c r="O63" s="337">
        <f>IFERROR(IF(18&gt;(O12),"",IF(O7="","",IF(O7&lt;=0,"",ROUND(O7/(1+O11)^18,4)))),"")</f>
        <v/>
      </c>
      <c r="P63" s="338">
        <f>IFERROR(IF(O63="","",ROUND(O18/O7,2)&amp;" adet·"&amp;TEXT(ROUND(O18/O7,2)*O63,"#,##0.00")&amp;" USDT"),"")</f>
        <v/>
      </c>
    </row>
    <row r="64" ht="18" customHeight="1" s="207">
      <c r="B64" s="327">
        <f>IF(19&gt;C12,"","ALIŞ 19")</f>
        <v/>
      </c>
      <c r="C64" s="328">
        <f>IFERROR(IF(19&gt;(C12),"",IF(C7="","",IF(C7&lt;=0,"",IFERROR(ROUND(ROUND((C7-C11*19)/C14,0)*C14,2),"")))),"")</f>
        <v/>
      </c>
      <c r="D64" s="329">
        <f>IFERROR(IF(C64="","",FLOOR(C18/C7,1)&amp;" adet·"&amp;TEXT(FLOOR(C18/C7,1)*C64,"#,##0.0")&amp;" TL"),"")</f>
        <v/>
      </c>
      <c r="E64" s="211" t="n"/>
      <c r="F64" s="330">
        <f>IF(19&gt;G12,"","ALIŞ 19")</f>
        <v/>
      </c>
      <c r="G64" s="331">
        <f>IFERROR(IF(19&gt;(G12),"",IF(G7="","",IF(G7&lt;=0,"",IFERROR(ROUND(ROUND((G7/(1+G11)^19)/G14,0)*G14,2),"")))),"")</f>
        <v/>
      </c>
      <c r="H64" s="332">
        <f>IFERROR(IF(G64="","",FLOOR(G18/G7,1)&amp;" adet·"&amp;TEXT(FLOOR(G18/G7,1)*G64,"#,##0.0")&amp;" TL"),"")</f>
        <v/>
      </c>
      <c r="I64" s="211" t="n"/>
      <c r="J64" s="333">
        <f>IF(19&gt;K12,"","ALIŞ 19")</f>
        <v/>
      </c>
      <c r="K64" s="334">
        <f>IFERROR(IF(19&gt;(K12),"",IF(K7="","",IF(K7&lt;=0,"",ROUND(K7-K11*19,4)))),"")</f>
        <v/>
      </c>
      <c r="L64" s="335">
        <f>IFERROR(IF(K64="","",ROUND(K18/K7,2)&amp;" adet·"&amp;TEXT(ROUND(K18/K7,2)*K64,"#,##0.00")&amp;" USDT"),"")</f>
        <v/>
      </c>
      <c r="M64" s="211" t="n"/>
      <c r="N64" s="336">
        <f>IF(19&gt;O12,"","ALIŞ 19")</f>
        <v/>
      </c>
      <c r="O64" s="337">
        <f>IFERROR(IF(19&gt;(O12),"",IF(O7="","",IF(O7&lt;=0,"",ROUND(O7/(1+O11)^19,4)))),"")</f>
        <v/>
      </c>
      <c r="P64" s="338">
        <f>IFERROR(IF(O64="","",ROUND(O18/O7,2)&amp;" adet·"&amp;TEXT(ROUND(O18/O7,2)*O64,"#,##0.00")&amp;" USDT"),"")</f>
        <v/>
      </c>
    </row>
    <row r="65" ht="18" customHeight="1" s="207">
      <c r="B65" s="327">
        <f>IF(20&gt;C12,"","ALIŞ 20")</f>
        <v/>
      </c>
      <c r="C65" s="328">
        <f>IFERROR(IF(20&gt;(C12),"",IF(C7="","",IF(C7&lt;=0,"",IFERROR(ROUND(ROUND((C7-C11*20)/C14,0)*C14,2),"")))),"")</f>
        <v/>
      </c>
      <c r="D65" s="329">
        <f>IFERROR(IF(C65="","",FLOOR(C18/C7,1)&amp;" adet·"&amp;TEXT(FLOOR(C18/C7,1)*C65,"#,##0.0")&amp;" TL"),"")</f>
        <v/>
      </c>
      <c r="E65" s="211" t="n"/>
      <c r="F65" s="330">
        <f>IF(20&gt;G12,"","ALIŞ 20")</f>
        <v/>
      </c>
      <c r="G65" s="331">
        <f>IFERROR(IF(20&gt;(G12),"",IF(G7="","",IF(G7&lt;=0,"",IFERROR(ROUND(ROUND((G7/(1+G11)^20)/G14,0)*G14,2),"")))),"")</f>
        <v/>
      </c>
      <c r="H65" s="332">
        <f>IFERROR(IF(G65="","",FLOOR(G18/G7,1)&amp;" adet·"&amp;TEXT(FLOOR(G18/G7,1)*G65,"#,##0.0")&amp;" TL"),"")</f>
        <v/>
      </c>
      <c r="I65" s="211" t="n"/>
      <c r="J65" s="333">
        <f>IF(20&gt;K12,"","ALIŞ 20")</f>
        <v/>
      </c>
      <c r="K65" s="334">
        <f>IFERROR(IF(20&gt;(K12),"",IF(K7="","",IF(K7&lt;=0,"",ROUND(K7-K11*20,4)))),"")</f>
        <v/>
      </c>
      <c r="L65" s="335">
        <f>IFERROR(IF(K65="","",ROUND(K18/K7,2)&amp;" adet·"&amp;TEXT(ROUND(K18/K7,2)*K65,"#,##0.00")&amp;" USDT"),"")</f>
        <v/>
      </c>
      <c r="M65" s="211" t="n"/>
      <c r="N65" s="336">
        <f>IF(20&gt;O12,"","ALIŞ 20")</f>
        <v/>
      </c>
      <c r="O65" s="337">
        <f>IFERROR(IF(20&gt;(O12),"",IF(O7="","",IF(O7&lt;=0,"",ROUND(O7/(1+O11)^20,4)))),"")</f>
        <v/>
      </c>
      <c r="P65" s="338">
        <f>IFERROR(IF(O65="","",ROUND(O18/O7,2)&amp;" adet·"&amp;TEXT(ROUND(O18/O7,2)*O65,"#,##0.00")&amp;" USDT"),"")</f>
        <v/>
      </c>
    </row>
    <row r="66" ht="15" customHeight="1" s="207"/>
    <row r="67" ht="21.75" customHeight="1" s="207">
      <c r="B67" s="314" t="inlineStr">
        <is>
          <t>💰 KÂR TAHMİNİ</t>
        </is>
      </c>
      <c r="C67" s="209" t="n"/>
      <c r="D67" s="210" t="n"/>
      <c r="E67" s="211" t="n"/>
      <c r="F67" s="315" t="inlineStr">
        <is>
          <t>💰 KÂR TAHMİNİ</t>
        </is>
      </c>
      <c r="G67" s="213" t="n"/>
      <c r="H67" s="214" t="n"/>
      <c r="I67" s="211" t="n"/>
      <c r="J67" s="316" t="inlineStr">
        <is>
          <t>💰 KÂR TAHMİNİ</t>
        </is>
      </c>
      <c r="K67" s="216" t="n"/>
      <c r="L67" s="217" t="n"/>
      <c r="M67" s="211" t="n"/>
      <c r="N67" s="317" t="inlineStr">
        <is>
          <t>💰 KÂR TAHMİNİ</t>
        </is>
      </c>
      <c r="O67" s="219" t="n"/>
      <c r="P67" s="220" t="n"/>
    </row>
    <row r="68" ht="19.5" customHeight="1" s="207">
      <c r="B68" s="289" t="inlineStr">
        <is>
          <t>🔻 Alt Sınır</t>
        </is>
      </c>
      <c r="C68" s="339">
        <f>IFERROR(IFERROR(ROUND(ROUND((C7-C11*C12)/C14,0)*C14,2),""),"—")</f>
        <v/>
      </c>
      <c r="D68" s="291" t="inlineStr">
        <is>
          <t>TL</t>
        </is>
      </c>
      <c r="E68" s="211" t="n"/>
      <c r="F68" s="292" t="inlineStr">
        <is>
          <t>🔻 Alt Sınır</t>
        </is>
      </c>
      <c r="G68" s="340">
        <f>IFERROR(ROUND(G7/(1+G11)^G12,4),"—")</f>
        <v/>
      </c>
      <c r="H68" s="294" t="inlineStr">
        <is>
          <t>TL</t>
        </is>
      </c>
      <c r="I68" s="211" t="n"/>
      <c r="J68" s="295" t="inlineStr">
        <is>
          <t>🔻 Alt Sınır</t>
        </is>
      </c>
      <c r="K68" s="341">
        <f>IFERROR(ROUND(K7-K11*K12,4),"—")</f>
        <v/>
      </c>
      <c r="L68" s="297" t="inlineStr">
        <is>
          <t>USDT</t>
        </is>
      </c>
      <c r="M68" s="211" t="n"/>
      <c r="N68" s="298" t="inlineStr">
        <is>
          <t>🔻 Alt Sınır</t>
        </is>
      </c>
      <c r="O68" s="342">
        <f>IFERROR(ROUND(O7/(1+O11)^O12,4),"—")</f>
        <v/>
      </c>
      <c r="P68" s="300" t="inlineStr">
        <is>
          <t>USDT</t>
        </is>
      </c>
    </row>
    <row r="69" ht="19.5" customHeight="1" s="207">
      <c r="B69" s="289" t="inlineStr">
        <is>
          <t>🔺 Üst Sınır</t>
        </is>
      </c>
      <c r="C69" s="339">
        <f>IFERROR(IFERROR(ROUND(ROUND((C7+C11*C13)/C14,0)*C14,2),""),"—")</f>
        <v/>
      </c>
      <c r="D69" s="291" t="inlineStr">
        <is>
          <t>TL</t>
        </is>
      </c>
      <c r="E69" s="211" t="n"/>
      <c r="F69" s="292" t="inlineStr">
        <is>
          <t>🔺 Üst Sınır</t>
        </is>
      </c>
      <c r="G69" s="340">
        <f>IFERROR(ROUND(G7*(1+G11)^G13,4),"—")</f>
        <v/>
      </c>
      <c r="H69" s="294" t="inlineStr">
        <is>
          <t>TL</t>
        </is>
      </c>
      <c r="I69" s="211" t="n"/>
      <c r="J69" s="295" t="inlineStr">
        <is>
          <t>🔺 Üst Sınır</t>
        </is>
      </c>
      <c r="K69" s="341">
        <f>IFERROR(ROUND(K7+K11*K13,4),"—")</f>
        <v/>
      </c>
      <c r="L69" s="297" t="inlineStr">
        <is>
          <t>USDT</t>
        </is>
      </c>
      <c r="M69" s="211" t="n"/>
      <c r="N69" s="298" t="inlineStr">
        <is>
          <t>🔺 Üst Sınır</t>
        </is>
      </c>
      <c r="O69" s="342">
        <f>IFERROR(ROUND(O7*(1+O11)^O13,4),"—")</f>
        <v/>
      </c>
      <c r="P69" s="300" t="inlineStr">
        <is>
          <t>USDT</t>
        </is>
      </c>
    </row>
    <row r="70" ht="21.75" customHeight="1" s="207">
      <c r="B70" s="289" t="inlineStr">
        <is>
          <t>🛡️ Stop-Loss</t>
        </is>
      </c>
      <c r="C70" s="343">
        <f>IFERROR(IFERROR(ROUND(ROUND((C68*0.93)/C14,0)*C14,2),""),"—")</f>
        <v/>
      </c>
      <c r="D70" s="291" t="inlineStr">
        <is>
          <t>alt sınırın %7 altı</t>
        </is>
      </c>
      <c r="E70" s="211" t="n"/>
      <c r="F70" s="292" t="inlineStr">
        <is>
          <t>🛡️ Stop-Loss</t>
        </is>
      </c>
      <c r="G70" s="343">
        <f>IFERROR(IFERROR(ROUND(ROUND((G68*0.93)/G14,0)*G14,2),""),"—")</f>
        <v/>
      </c>
      <c r="H70" s="294" t="inlineStr">
        <is>
          <t>alt sınırın %7 altı</t>
        </is>
      </c>
      <c r="I70" s="211" t="n"/>
      <c r="J70" s="295" t="inlineStr">
        <is>
          <t>🛡️ Stop-Loss</t>
        </is>
      </c>
      <c r="K70" s="343">
        <f>IFERROR(ROUND(K68*0.93,4),"—")</f>
        <v/>
      </c>
      <c r="L70" s="297" t="inlineStr">
        <is>
          <t>alt sınırın %7 altı</t>
        </is>
      </c>
      <c r="M70" s="211" t="n"/>
      <c r="N70" s="298" t="inlineStr">
        <is>
          <t>🛡️ Stop-Loss</t>
        </is>
      </c>
      <c r="O70" s="343">
        <f>IFERROR(ROUND(O68*0.93,4),"—")</f>
        <v/>
      </c>
      <c r="P70" s="300" t="inlineStr">
        <is>
          <t>alt sınırın %7 altı</t>
        </is>
      </c>
    </row>
    <row r="71" ht="15" customHeight="1" s="207"/>
    <row r="72" ht="24" customHeight="1" s="207">
      <c r="B72" s="257" t="inlineStr">
        <is>
          <t>📊 Aylık Hedef Getiri %</t>
        </is>
      </c>
      <c r="C72" s="344" t="n">
        <v>0.1</v>
      </c>
      <c r="D72" s="258" t="inlineStr">
        <is>
          <t>örn: 0.10 = %10/ay</t>
        </is>
      </c>
      <c r="E72" s="211" t="n"/>
      <c r="F72" s="259" t="inlineStr">
        <is>
          <t>📊 Aylık Hedef Getiri %</t>
        </is>
      </c>
      <c r="G72" s="345" t="n">
        <v>0.1</v>
      </c>
      <c r="H72" s="261" t="inlineStr">
        <is>
          <t>örn: 0.10 = %10/ay</t>
        </is>
      </c>
      <c r="I72" s="211" t="n"/>
      <c r="J72" s="262" t="inlineStr">
        <is>
          <t>📊 Aylık Hedef Getiri %</t>
        </is>
      </c>
      <c r="K72" s="346" t="n">
        <v>0.1</v>
      </c>
      <c r="L72" s="264" t="inlineStr">
        <is>
          <t>örn: 0.10 = %10/ay</t>
        </is>
      </c>
      <c r="M72" s="211" t="n"/>
      <c r="N72" s="265" t="inlineStr">
        <is>
          <t>📊 Aylık Hedef Getiri %</t>
        </is>
      </c>
      <c r="O72" s="347" t="n">
        <v>0.1</v>
      </c>
      <c r="P72" s="267" t="inlineStr">
        <is>
          <t>örn: 0.10 = %10/ay</t>
        </is>
      </c>
    </row>
    <row r="73" ht="19.5" customHeight="1" s="207">
      <c r="B73" s="289" t="inlineStr">
        <is>
          <t>📆 Aylık Kâr</t>
        </is>
      </c>
      <c r="C73" s="348">
        <f>IFERROR(C8*C72,"—")</f>
        <v/>
      </c>
      <c r="D73" s="291" t="inlineStr">
        <is>
          <t>TL</t>
        </is>
      </c>
      <c r="E73" s="211" t="n"/>
      <c r="F73" s="292" t="inlineStr">
        <is>
          <t>📆 Aylık Kâr</t>
        </is>
      </c>
      <c r="G73" s="348">
        <f>IFERROR(G8*G72,"—")</f>
        <v/>
      </c>
      <c r="H73" s="294" t="inlineStr">
        <is>
          <t>TL</t>
        </is>
      </c>
      <c r="I73" s="211" t="n"/>
      <c r="J73" s="295" t="inlineStr">
        <is>
          <t>📆 Aylık Kâr</t>
        </is>
      </c>
      <c r="K73" s="348">
        <f>IFERROR(K8*K72,"—")</f>
        <v/>
      </c>
      <c r="L73" s="297" t="inlineStr">
        <is>
          <t>USDT</t>
        </is>
      </c>
      <c r="M73" s="211" t="n"/>
      <c r="N73" s="298" t="inlineStr">
        <is>
          <t>📆 Aylık Kâr</t>
        </is>
      </c>
      <c r="O73" s="348">
        <f>IFERROR(O8*O72,"—")</f>
        <v/>
      </c>
      <c r="P73" s="300" t="inlineStr">
        <is>
          <t>USDT</t>
        </is>
      </c>
    </row>
    <row r="74" ht="19.5" customHeight="1" s="207">
      <c r="B74" s="289" t="inlineStr">
        <is>
          <t>📅 Haftalık Kâr</t>
        </is>
      </c>
      <c r="C74" s="348">
        <f>IFERROR(C73/4,"—")</f>
        <v/>
      </c>
      <c r="D74" s="291" t="inlineStr">
        <is>
          <t>TL</t>
        </is>
      </c>
      <c r="E74" s="211" t="n"/>
      <c r="F74" s="292" t="inlineStr">
        <is>
          <t>📅 Haftalık Kâr</t>
        </is>
      </c>
      <c r="G74" s="348">
        <f>IFERROR(G73/4,"—")</f>
        <v/>
      </c>
      <c r="H74" s="294" t="inlineStr">
        <is>
          <t>TL</t>
        </is>
      </c>
      <c r="I74" s="211" t="n"/>
      <c r="J74" s="295" t="inlineStr">
        <is>
          <t>📅 Haftalık Kâr</t>
        </is>
      </c>
      <c r="K74" s="348">
        <f>IFERROR(K73/4,"—")</f>
        <v/>
      </c>
      <c r="L74" s="297" t="inlineStr">
        <is>
          <t>USDT</t>
        </is>
      </c>
      <c r="M74" s="211" t="n"/>
      <c r="N74" s="298" t="inlineStr">
        <is>
          <t>📅 Haftalık Kâr</t>
        </is>
      </c>
      <c r="O74" s="348">
        <f>IFERROR(O73/4,"—")</f>
        <v/>
      </c>
      <c r="P74" s="300" t="inlineStr">
        <is>
          <t>USDT</t>
        </is>
      </c>
    </row>
    <row r="75" ht="19.5" customHeight="1" s="207">
      <c r="B75" s="289" t="inlineStr">
        <is>
          <t>📅 Günlük Kâr</t>
        </is>
      </c>
      <c r="C75" s="348">
        <f>IFERROR(C73/22,"—")</f>
        <v/>
      </c>
      <c r="D75" s="291" t="inlineStr">
        <is>
          <t>TL</t>
        </is>
      </c>
      <c r="E75" s="211" t="n"/>
      <c r="F75" s="292" t="inlineStr">
        <is>
          <t>📅 Günlük Kâr</t>
        </is>
      </c>
      <c r="G75" s="348">
        <f>IFERROR(G73/22,"—")</f>
        <v/>
      </c>
      <c r="H75" s="294" t="inlineStr">
        <is>
          <t>TL</t>
        </is>
      </c>
      <c r="I75" s="211" t="n"/>
      <c r="J75" s="295" t="inlineStr">
        <is>
          <t>📅 Günlük Kâr</t>
        </is>
      </c>
      <c r="K75" s="348">
        <f>IFERROR(K73/22,"—")</f>
        <v/>
      </c>
      <c r="L75" s="297" t="inlineStr">
        <is>
          <t>USDT</t>
        </is>
      </c>
      <c r="M75" s="211" t="n"/>
      <c r="N75" s="298" t="inlineStr">
        <is>
          <t>📅 Günlük Kâr</t>
        </is>
      </c>
      <c r="O75" s="348">
        <f>IFERROR(O73/22,"—")</f>
        <v/>
      </c>
      <c r="P75" s="300" t="inlineStr">
        <is>
          <t>USDT</t>
        </is>
      </c>
    </row>
    <row r="76" ht="19.5" customHeight="1" s="207">
      <c r="B76" s="289" t="inlineStr">
        <is>
          <t>📈 Yıllık Kâr</t>
        </is>
      </c>
      <c r="C76" s="348">
        <f>IFERROR(C73*12,"—")</f>
        <v/>
      </c>
      <c r="D76" s="291" t="inlineStr">
        <is>
          <t>TL</t>
        </is>
      </c>
      <c r="E76" s="211" t="n"/>
      <c r="F76" s="292" t="inlineStr">
        <is>
          <t>📈 Yıllık Kâr</t>
        </is>
      </c>
      <c r="G76" s="348">
        <f>IFERROR(G73*12,"—")</f>
        <v/>
      </c>
      <c r="H76" s="294" t="inlineStr">
        <is>
          <t>TL</t>
        </is>
      </c>
      <c r="I76" s="211" t="n"/>
      <c r="J76" s="295" t="inlineStr">
        <is>
          <t>📈 Yıllık Kâr</t>
        </is>
      </c>
      <c r="K76" s="348">
        <f>IFERROR(K73*12,"—")</f>
        <v/>
      </c>
      <c r="L76" s="297" t="inlineStr">
        <is>
          <t>USDT</t>
        </is>
      </c>
      <c r="M76" s="211" t="n"/>
      <c r="N76" s="298" t="inlineStr">
        <is>
          <t>📈 Yıllık Kâr</t>
        </is>
      </c>
      <c r="O76" s="348">
        <f>IFERROR(O73*12,"—")</f>
        <v/>
      </c>
      <c r="P76" s="300" t="inlineStr">
        <is>
          <t>USDT</t>
        </is>
      </c>
    </row>
    <row r="77" ht="19.5" customHeight="1" s="207">
      <c r="B77" s="289" t="inlineStr">
        <is>
          <t>🚀 Yıllık Getiri</t>
        </is>
      </c>
      <c r="C77" s="349">
        <f>IFERROR(C72*12,"—")</f>
        <v/>
      </c>
      <c r="D77" s="291" t="inlineStr">
        <is>
          <t>%</t>
        </is>
      </c>
      <c r="E77" s="211" t="n"/>
      <c r="F77" s="292" t="inlineStr">
        <is>
          <t>🚀 Yıllık Getiri</t>
        </is>
      </c>
      <c r="G77" s="349">
        <f>IFERROR(G72*12,"—")</f>
        <v/>
      </c>
      <c r="H77" s="294" t="inlineStr">
        <is>
          <t>%</t>
        </is>
      </c>
      <c r="I77" s="211" t="n"/>
      <c r="J77" s="295" t="inlineStr">
        <is>
          <t>🚀 Yıllık Getiri</t>
        </is>
      </c>
      <c r="K77" s="349">
        <f>IFERROR(K72*12,"—")</f>
        <v/>
      </c>
      <c r="L77" s="297" t="inlineStr">
        <is>
          <t>%</t>
        </is>
      </c>
      <c r="M77" s="211" t="n"/>
      <c r="N77" s="298" t="inlineStr">
        <is>
          <t>🚀 Yıllık Getiri</t>
        </is>
      </c>
      <c r="O77" s="349">
        <f>IFERROR(O72*12,"—")</f>
        <v/>
      </c>
      <c r="P77" s="300" t="inlineStr">
        <is>
          <t>%</t>
        </is>
      </c>
    </row>
    <row r="78" ht="15" customHeight="1" s="207"/>
    <row r="79" ht="27.75" customHeight="1" s="207">
      <c r="B79" s="350" t="inlineStr">
        <is>
          <t>⚠️ Bu rakamlar tahmini hesaplamadır. Gerçek piyasa koşullarını yansıtmaz.</t>
        </is>
      </c>
      <c r="C79" s="351" t="n"/>
      <c r="D79" s="352" t="n"/>
      <c r="E79" s="211" t="n"/>
      <c r="F79" s="350" t="inlineStr">
        <is>
          <t>⚠️ Bu rakamlar tahmini hesaplamadır. Gerçek piyasa koşullarını yansıtmaz.</t>
        </is>
      </c>
      <c r="G79" s="351" t="n"/>
      <c r="H79" s="352" t="n"/>
      <c r="I79" s="211" t="n"/>
      <c r="J79" s="350" t="inlineStr">
        <is>
          <t>⚠️ Bu rakamlar tahmini hesaplamadır. Gerçek piyasa koşullarını yansıtmaz.</t>
        </is>
      </c>
      <c r="K79" s="351" t="n"/>
      <c r="L79" s="352" t="n"/>
      <c r="M79" s="211" t="n"/>
      <c r="N79" s="350" t="inlineStr">
        <is>
          <t>⚠️ Bu rakamlar tahmini hesaplamadır. Gerçek piyasa koşullarını yansıtmaz.</t>
        </is>
      </c>
      <c r="O79" s="351" t="n"/>
      <c r="P79" s="352" t="n"/>
    </row>
    <row r="80" ht="15" customHeight="1" s="207"/>
    <row r="81" ht="13.5" customHeight="1" s="207">
      <c r="B81" s="353" t="inlineStr">
        <is>
          <t>Grid Trading – Uyuyan Para Makinesi  ·  Serkan Basut  ·  gridtradingbook.com  ·  s.basut1@hotmail.com</t>
        </is>
      </c>
    </row>
  </sheetData>
  <mergeCells count="41">
    <mergeCell ref="G21:H21"/>
    <mergeCell ref="B67:D67"/>
    <mergeCell ref="N2:P2"/>
    <mergeCell ref="F5:H5"/>
    <mergeCell ref="B23:D23"/>
    <mergeCell ref="F45:H45"/>
    <mergeCell ref="F79:H79"/>
    <mergeCell ref="J45:L45"/>
    <mergeCell ref="B17:D17"/>
    <mergeCell ref="N5:P5"/>
    <mergeCell ref="N17:P17"/>
    <mergeCell ref="N23:P23"/>
    <mergeCell ref="F2:H2"/>
    <mergeCell ref="F17:H17"/>
    <mergeCell ref="J79:L79"/>
    <mergeCell ref="K21:L21"/>
    <mergeCell ref="B10:D10"/>
    <mergeCell ref="F23:H23"/>
    <mergeCell ref="N67:P67"/>
    <mergeCell ref="N10:P10"/>
    <mergeCell ref="N3:P3"/>
    <mergeCell ref="F67:H67"/>
    <mergeCell ref="J3:L3"/>
    <mergeCell ref="J2:L2"/>
    <mergeCell ref="B5:D5"/>
    <mergeCell ref="C21:D21"/>
    <mergeCell ref="O21:P21"/>
    <mergeCell ref="B45:D45"/>
    <mergeCell ref="B79:D79"/>
    <mergeCell ref="J23:L23"/>
    <mergeCell ref="N45:P45"/>
    <mergeCell ref="N79:P79"/>
    <mergeCell ref="J17:L17"/>
    <mergeCell ref="J67:L67"/>
    <mergeCell ref="J5:L5"/>
    <mergeCell ref="F10:H10"/>
    <mergeCell ref="B3:D3"/>
    <mergeCell ref="J10:L10"/>
    <mergeCell ref="B81:P81"/>
    <mergeCell ref="F3:H3"/>
    <mergeCell ref="B2:D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2:I27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4" customWidth="1" style="206" min="1" max="10"/>
  </cols>
  <sheetData>
    <row r="1" ht="19.5" customHeight="1" s="207"/>
    <row r="2" ht="21.75" customHeight="1" s="207">
      <c r="A2" s="354" t="n"/>
      <c r="B2" s="354" t="n"/>
      <c r="C2" s="354" t="n"/>
      <c r="D2" s="354" t="n"/>
      <c r="E2" s="354" t="n"/>
      <c r="F2" s="354" t="n"/>
      <c r="G2" s="354" t="n"/>
      <c r="H2" s="354" t="n"/>
      <c r="I2" s="354" t="n"/>
    </row>
    <row r="3" ht="21.75" customHeight="1" s="207">
      <c r="A3" s="354" t="n"/>
      <c r="B3" s="355" t="inlineStr">
        <is>
          <t>GRID TRADING</t>
        </is>
      </c>
    </row>
    <row r="4" ht="21.75" customHeight="1" s="207">
      <c r="A4" s="354" t="n"/>
      <c r="B4" s="356" t="inlineStr">
        <is>
          <t>UYUYAN PARA MAKİNESİ</t>
        </is>
      </c>
    </row>
    <row r="5" ht="21.75" customHeight="1" s="207">
      <c r="A5" s="354" t="n"/>
      <c r="B5" s="357" t="inlineStr">
        <is>
          <t>KİŞİSEL HESAP ARACI</t>
        </is>
      </c>
    </row>
    <row r="6" ht="21.75" customHeight="1" s="207">
      <c r="A6" s="354" t="n"/>
      <c r="B6" s="358" t="inlineStr">
        <is>
          <t>──────────────────────────────────────────────────────────────────────</t>
        </is>
      </c>
    </row>
    <row r="7" ht="21.75" customHeight="1" s="207">
      <c r="A7" s="354" t="n"/>
      <c r="B7" s="359" t="inlineStr">
        <is>
          <t>Serkan Basut  •  İkinci Adam Yayınları  •  2026</t>
        </is>
      </c>
    </row>
    <row r="8" ht="15" customHeight="1" s="207">
      <c r="A8" s="354" t="n"/>
      <c r="B8" s="354" t="n"/>
      <c r="C8" s="354" t="n"/>
      <c r="D8" s="354" t="n"/>
      <c r="E8" s="354" t="n"/>
      <c r="F8" s="354" t="n"/>
      <c r="G8" s="354" t="n"/>
      <c r="H8" s="354" t="n"/>
      <c r="I8" s="354" t="n"/>
    </row>
    <row r="9" ht="24" customHeight="1" s="207">
      <c r="A9" s="354" t="n"/>
      <c r="B9" s="360" t="inlineStr">
        <is>
          <t>📊</t>
        </is>
      </c>
      <c r="C9" s="361" t="inlineStr">
        <is>
          <t>ARİTMETİK GRİD</t>
        </is>
      </c>
      <c r="F9" s="362" t="inlineStr">
        <is>
          <t>Eşit aralıklı grid hesabı</t>
        </is>
      </c>
    </row>
    <row r="10" ht="24" customHeight="1" s="207">
      <c r="A10" s="354" t="n"/>
      <c r="B10" s="360" t="inlineStr">
        <is>
          <t>📐</t>
        </is>
      </c>
      <c r="C10" s="361" t="inlineStr">
        <is>
          <t>GEOMETRİK GRİD</t>
        </is>
      </c>
      <c r="F10" s="362" t="inlineStr">
        <is>
          <t>Yüzde bazlı grid hesabı</t>
        </is>
      </c>
    </row>
    <row r="11" ht="24" customHeight="1" s="207">
      <c r="A11" s="354" t="n"/>
      <c r="B11" s="360" t="inlineStr">
        <is>
          <t>💰</t>
        </is>
      </c>
      <c r="C11" s="361" t="inlineStr">
        <is>
          <t>KÂR SİMÜLASYONU</t>
        </is>
      </c>
      <c r="F11" s="362" t="inlineStr">
        <is>
          <t>İşlem başına kâr tahmini</t>
        </is>
      </c>
    </row>
    <row r="12" ht="24" customHeight="1" s="207">
      <c r="A12" s="354" t="n"/>
      <c r="B12" s="360" t="inlineStr">
        <is>
          <t>🛡️</t>
        </is>
      </c>
      <c r="C12" s="361" t="inlineStr">
        <is>
          <t>RİSK ANALİZİ</t>
        </is>
      </c>
      <c r="F12" s="362" t="inlineStr">
        <is>
          <t>Sermaye ve risk hesabı</t>
        </is>
      </c>
    </row>
    <row r="13" ht="24" customHeight="1" s="207">
      <c r="A13" s="354" t="n"/>
      <c r="B13" s="360" t="inlineStr">
        <is>
          <t>📋</t>
        </is>
      </c>
      <c r="C13" s="361" t="inlineStr">
        <is>
          <t>İŞLEM TAKİBİ</t>
        </is>
      </c>
      <c r="F13" s="362" t="inlineStr">
        <is>
          <t>Açık/kapalı pozisyon takibi</t>
        </is>
      </c>
    </row>
    <row r="14" ht="15" customHeight="1" s="207">
      <c r="A14" s="354" t="n"/>
      <c r="B14" s="358" t="inlineStr">
        <is>
          <t>──────────────────────────────────────────────────────────────────────</t>
        </is>
      </c>
    </row>
    <row r="15" ht="19.5" customHeight="1" s="207">
      <c r="A15" s="354" t="n"/>
      <c r="B15" s="363" t="inlineStr">
        <is>
          <t>"Makine uyumaz, yorulmaz, korkmaz ve intikam almaz."</t>
        </is>
      </c>
    </row>
    <row r="16" ht="15.75" customHeight="1" s="207">
      <c r="A16" s="354" t="n"/>
      <c r="B16" s="364" t="inlineStr">
        <is>
          <t>— Grid Trading, Bölüm 8</t>
        </is>
      </c>
    </row>
    <row r="17" ht="19.5" customHeight="1" s="207">
      <c r="A17" s="354" t="n"/>
      <c r="B17" s="354" t="n"/>
      <c r="C17" s="354" t="n"/>
      <c r="D17" s="354" t="n"/>
      <c r="E17" s="354" t="n"/>
      <c r="F17" s="354" t="n"/>
      <c r="G17" s="354" t="n"/>
      <c r="H17" s="354" t="n"/>
      <c r="I17" s="354" t="n"/>
    </row>
    <row r="19" ht="27.75" customHeight="1" s="207">
      <c r="B19" s="365" t="inlineStr">
        <is>
          <t>NASIL KULLANILIR?</t>
        </is>
      </c>
      <c r="C19" s="325" t="n"/>
      <c r="D19" s="325" t="n"/>
      <c r="E19" s="325" t="n"/>
      <c r="F19" s="325" t="n"/>
      <c r="G19" s="325" t="n"/>
      <c r="H19" s="325" t="n"/>
      <c r="I19" s="326" t="n"/>
    </row>
    <row r="20" ht="21.75" customHeight="1" s="207">
      <c r="B20" s="366" t="inlineStr">
        <is>
          <t>1️⃣</t>
        </is>
      </c>
      <c r="C20" s="367" t="inlineStr">
        <is>
          <t>Aritmetik veya Geometrik sekme seçin</t>
        </is>
      </c>
      <c r="D20" s="223" t="n"/>
      <c r="E20" s="223" t="n"/>
      <c r="F20" s="223" t="n"/>
      <c r="G20" s="223" t="n"/>
      <c r="H20" s="223" t="n"/>
      <c r="I20" s="224" t="n"/>
    </row>
    <row r="21" ht="21.75" customHeight="1" s="207">
      <c r="B21" s="368" t="inlineStr">
        <is>
          <t>2️⃣</t>
        </is>
      </c>
      <c r="C21" s="369" t="inlineStr">
        <is>
          <t>Mavi kutulara kendi değerlerinizi girin</t>
        </is>
      </c>
      <c r="D21" s="223" t="n"/>
      <c r="E21" s="223" t="n"/>
      <c r="F21" s="223" t="n"/>
      <c r="G21" s="223" t="n"/>
      <c r="H21" s="223" t="n"/>
      <c r="I21" s="224" t="n"/>
    </row>
    <row r="22" ht="21.75" customHeight="1" s="207">
      <c r="B22" s="366" t="inlineStr">
        <is>
          <t>3️⃣</t>
        </is>
      </c>
      <c r="C22" s="367" t="inlineStr">
        <is>
          <t>Sonuçlar otomatik hesaplanır</t>
        </is>
      </c>
      <c r="D22" s="223" t="n"/>
      <c r="E22" s="223" t="n"/>
      <c r="F22" s="223" t="n"/>
      <c r="G22" s="223" t="n"/>
      <c r="H22" s="223" t="n"/>
      <c r="I22" s="224" t="n"/>
    </row>
    <row r="23" ht="21.75" customHeight="1" s="207">
      <c r="B23" s="368" t="inlineStr">
        <is>
          <t>4️⃣</t>
        </is>
      </c>
      <c r="C23" s="369" t="inlineStr">
        <is>
          <t>Kâr Simülasyonu ile kazancınızı görün</t>
        </is>
      </c>
      <c r="D23" s="223" t="n"/>
      <c r="E23" s="223" t="n"/>
      <c r="F23" s="223" t="n"/>
      <c r="G23" s="223" t="n"/>
      <c r="H23" s="223" t="n"/>
      <c r="I23" s="224" t="n"/>
    </row>
    <row r="24" ht="21.75" customHeight="1" s="207">
      <c r="B24" s="366" t="inlineStr">
        <is>
          <t>5️⃣</t>
        </is>
      </c>
      <c r="C24" s="367" t="inlineStr">
        <is>
          <t>İşlem Takibi ile pozisyonlarınızı kaydedin</t>
        </is>
      </c>
      <c r="D24" s="223" t="n"/>
      <c r="E24" s="223" t="n"/>
      <c r="F24" s="223" t="n"/>
      <c r="G24" s="223" t="n"/>
      <c r="H24" s="223" t="n"/>
      <c r="I24" s="224" t="n"/>
    </row>
    <row r="27" ht="19.5" customHeight="1" s="207">
      <c r="B27" s="370" t="inlineStr">
        <is>
          <t>📧 s.basut1@hotmail.com  •  🌐 gridtradingbook.com  •  𝕏 @basut_serk39932</t>
        </is>
      </c>
    </row>
  </sheetData>
  <mergeCells count="25">
    <mergeCell ref="F13:I13"/>
    <mergeCell ref="C23:I23"/>
    <mergeCell ref="B7:I7"/>
    <mergeCell ref="F9:I9"/>
    <mergeCell ref="B16:I16"/>
    <mergeCell ref="C9:E9"/>
    <mergeCell ref="B3:I3"/>
    <mergeCell ref="B27:I27"/>
    <mergeCell ref="C12:E12"/>
    <mergeCell ref="C11:E11"/>
    <mergeCell ref="F11:I11"/>
    <mergeCell ref="B14:I14"/>
    <mergeCell ref="C24:I24"/>
    <mergeCell ref="F10:I10"/>
    <mergeCell ref="C13:E13"/>
    <mergeCell ref="F12:I12"/>
    <mergeCell ref="C20:I20"/>
    <mergeCell ref="B19:I19"/>
    <mergeCell ref="C22:I22"/>
    <mergeCell ref="B15:I15"/>
    <mergeCell ref="B6:I6"/>
    <mergeCell ref="C21:I21"/>
    <mergeCell ref="B5:I5"/>
    <mergeCell ref="B4:I4"/>
    <mergeCell ref="C10:E10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2026-06-22T14:25:13Z</dcterms:created>
  <dcterms:modified xmlns:dcterms="http://purl.org/dc/terms/" xmlns:xsi="http://www.w3.org/2001/XMLSchema-instance" xsi:type="dcterms:W3CDTF">2026-06-22T14:38:01Z</dcterms:modified>
  <cp:revision>0</cp:revision>
</cp:coreProperties>
</file>